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450"/>
  </bookViews>
  <sheets>
    <sheet name="เงินบำรุง เมย 66" sheetId="50" r:id="rId1"/>
    <sheet name="เทียบแผน+ผล" sheetId="66" r:id="rId2"/>
    <sheet name="Sheet1" sheetId="62" r:id="rId3"/>
    <sheet name="Sheet8" sheetId="57" r:id="rId4"/>
    <sheet name="คุม 43 ล้าน" sheetId="69" r:id="rId5"/>
    <sheet name="แก้ไข43ล้าน กกบ5-66" sheetId="68" r:id="rId6"/>
    <sheet name="43 ล้าน" sheetId="67" r:id="rId7"/>
    <sheet name="แผนดำเนินการปี65-66" sheetId="63" r:id="rId8"/>
    <sheet name="แผนก่อสร้างปี 66" sheetId="59" r:id="rId9"/>
    <sheet name="สิ่งก่อสร้างปี 65 (จ่ายแล้ว)" sheetId="58" r:id="rId10"/>
    <sheet name="สิ่งก่อสสร้างปี 2564" sheetId="51" r:id="rId11"/>
    <sheet name="รายชื่อกกบ." sheetId="60" r:id="rId12"/>
  </sheets>
  <definedNames>
    <definedName name="_xlnm.Print_Titles" localSheetId="6">'43 ล้าน'!$1:$3</definedName>
  </definedNames>
  <calcPr calcId="152511"/>
</workbook>
</file>

<file path=xl/calcChain.xml><?xml version="1.0" encoding="utf-8"?>
<calcChain xmlns="http://schemas.openxmlformats.org/spreadsheetml/2006/main">
  <c r="Z65" i="66" l="1"/>
  <c r="C50" i="50"/>
  <c r="C49" i="50"/>
  <c r="D49" i="50" s="1"/>
  <c r="E18" i="50"/>
  <c r="U76" i="66"/>
  <c r="O76" i="66"/>
  <c r="M76" i="66"/>
  <c r="L76" i="66"/>
  <c r="K76" i="66"/>
  <c r="J76" i="66"/>
  <c r="F76" i="66"/>
  <c r="V72" i="66"/>
  <c r="V70" i="66"/>
  <c r="V69" i="66"/>
  <c r="W67" i="66"/>
  <c r="V66" i="66"/>
  <c r="U62" i="66"/>
  <c r="T62" i="66"/>
  <c r="S62" i="66"/>
  <c r="R62" i="66"/>
  <c r="Q62" i="66"/>
  <c r="P62" i="66"/>
  <c r="H62" i="66"/>
  <c r="G62" i="66"/>
  <c r="F62" i="66"/>
  <c r="V61" i="66"/>
  <c r="V59" i="66"/>
  <c r="V58" i="66"/>
  <c r="W58" i="66" s="1"/>
  <c r="Y57" i="66"/>
  <c r="Y62" i="66" s="1"/>
  <c r="Y81" i="66" s="1"/>
  <c r="X57" i="66"/>
  <c r="X62" i="66" s="1"/>
  <c r="X81" i="66" s="1"/>
  <c r="V57" i="66"/>
  <c r="W57" i="66" s="1"/>
  <c r="V56" i="66"/>
  <c r="V55" i="66"/>
  <c r="V54" i="66"/>
  <c r="V53" i="66"/>
  <c r="I53" i="66"/>
  <c r="V52" i="66"/>
  <c r="V51" i="66"/>
  <c r="W51" i="66" s="1"/>
  <c r="V50" i="66"/>
  <c r="M49" i="66"/>
  <c r="L49" i="66"/>
  <c r="V49" i="66" s="1"/>
  <c r="O48" i="66"/>
  <c r="O62" i="66" s="1"/>
  <c r="M48" i="66"/>
  <c r="L48" i="66"/>
  <c r="K48" i="66"/>
  <c r="K62" i="66" s="1"/>
  <c r="J48" i="66"/>
  <c r="J62" i="66" s="1"/>
  <c r="V47" i="66"/>
  <c r="W47" i="66" s="1"/>
  <c r="V46" i="66"/>
  <c r="W46" i="66" s="1"/>
  <c r="V45" i="66"/>
  <c r="V44" i="66"/>
  <c r="W44" i="66" s="1"/>
  <c r="V43" i="66"/>
  <c r="V42" i="66"/>
  <c r="W42" i="66" s="1"/>
  <c r="V41" i="66"/>
  <c r="W41" i="66" s="1"/>
  <c r="V40" i="66"/>
  <c r="V39" i="66"/>
  <c r="W39" i="66" s="1"/>
  <c r="V38" i="66"/>
  <c r="N37" i="66"/>
  <c r="N48" i="66" s="1"/>
  <c r="V36" i="66"/>
  <c r="V35" i="66"/>
  <c r="V34" i="66"/>
  <c r="W33" i="66"/>
  <c r="V33" i="66"/>
  <c r="V32" i="66"/>
  <c r="V31" i="66"/>
  <c r="W31" i="66" s="1"/>
  <c r="W30" i="66"/>
  <c r="V30" i="66"/>
  <c r="V29" i="66"/>
  <c r="W29" i="66" s="1"/>
  <c r="V28" i="66"/>
  <c r="W28" i="66" s="1"/>
  <c r="V27" i="66"/>
  <c r="W27" i="66" s="1"/>
  <c r="V26" i="66"/>
  <c r="V25" i="66"/>
  <c r="Y24" i="66"/>
  <c r="X24" i="66"/>
  <c r="U24" i="66"/>
  <c r="T24" i="66"/>
  <c r="T63" i="66" s="1"/>
  <c r="T65" i="66" s="1"/>
  <c r="S24" i="66"/>
  <c r="S63" i="66" s="1"/>
  <c r="S65" i="66" s="1"/>
  <c r="R24" i="66"/>
  <c r="R63" i="66" s="1"/>
  <c r="R65" i="66" s="1"/>
  <c r="Q24" i="66"/>
  <c r="P24" i="66"/>
  <c r="P63" i="66" s="1"/>
  <c r="P65" i="66" s="1"/>
  <c r="O24" i="66"/>
  <c r="N24" i="66"/>
  <c r="M24" i="66"/>
  <c r="L24" i="66"/>
  <c r="K24" i="66"/>
  <c r="J24" i="66"/>
  <c r="I24" i="66"/>
  <c r="H24" i="66"/>
  <c r="G24" i="66"/>
  <c r="G63" i="66" s="1"/>
  <c r="G65" i="66" s="1"/>
  <c r="F24" i="66"/>
  <c r="F63" i="66" s="1"/>
  <c r="F65" i="66" s="1"/>
  <c r="F68" i="66" s="1"/>
  <c r="V23" i="66"/>
  <c r="W23" i="66" s="1"/>
  <c r="V22" i="66"/>
  <c r="W22" i="66" s="1"/>
  <c r="V21" i="66"/>
  <c r="W21" i="66" s="1"/>
  <c r="V20" i="66"/>
  <c r="V19" i="66"/>
  <c r="V18" i="66"/>
  <c r="V17" i="66"/>
  <c r="W17" i="66" s="1"/>
  <c r="V16" i="66"/>
  <c r="V15" i="66"/>
  <c r="W15" i="66" s="1"/>
  <c r="V14" i="66"/>
  <c r="W14" i="66" s="1"/>
  <c r="V13" i="66"/>
  <c r="W13" i="66" s="1"/>
  <c r="W12" i="66"/>
  <c r="V12" i="66"/>
  <c r="V11" i="66"/>
  <c r="W11" i="66" s="1"/>
  <c r="V10" i="66"/>
  <c r="W10" i="66" s="1"/>
  <c r="V9" i="66"/>
  <c r="V8" i="66"/>
  <c r="V7" i="66"/>
  <c r="C63" i="50"/>
  <c r="E63" i="50"/>
  <c r="C43" i="50"/>
  <c r="C41" i="50"/>
  <c r="C40" i="50"/>
  <c r="Q76" i="50"/>
  <c r="Q63" i="50"/>
  <c r="Q75" i="50"/>
  <c r="Q72" i="50"/>
  <c r="Q71" i="50"/>
  <c r="Q67" i="50"/>
  <c r="Q66" i="50"/>
  <c r="V24" i="66" l="1"/>
  <c r="W24" i="66" s="1"/>
  <c r="X63" i="66"/>
  <c r="L62" i="66"/>
  <c r="L63" i="66" s="1"/>
  <c r="L65" i="66" s="1"/>
  <c r="L68" i="66" s="1"/>
  <c r="M62" i="66"/>
  <c r="M63" i="66" s="1"/>
  <c r="M65" i="66" s="1"/>
  <c r="M68" i="66" s="1"/>
  <c r="Q63" i="66"/>
  <c r="Q65" i="66" s="1"/>
  <c r="U63" i="66"/>
  <c r="U65" i="66" s="1"/>
  <c r="U68" i="66" s="1"/>
  <c r="K63" i="66"/>
  <c r="K65" i="66" s="1"/>
  <c r="K68" i="66" s="1"/>
  <c r="H63" i="66"/>
  <c r="H65" i="66" s="1"/>
  <c r="H68" i="66" s="1"/>
  <c r="T68" i="66"/>
  <c r="T74" i="66"/>
  <c r="T76" i="66" s="1"/>
  <c r="Q74" i="66"/>
  <c r="Q76" i="66" s="1"/>
  <c r="Q68" i="66"/>
  <c r="P68" i="66"/>
  <c r="P74" i="66"/>
  <c r="P76" i="66" s="1"/>
  <c r="J63" i="66"/>
  <c r="R74" i="66"/>
  <c r="R76" i="66" s="1"/>
  <c r="R68" i="66"/>
  <c r="G68" i="66"/>
  <c r="G74" i="66"/>
  <c r="G76" i="66" s="1"/>
  <c r="O63" i="66"/>
  <c r="O65" i="66" s="1"/>
  <c r="O68" i="66" s="1"/>
  <c r="S74" i="66"/>
  <c r="S76" i="66" s="1"/>
  <c r="S68" i="66"/>
  <c r="I62" i="66"/>
  <c r="W9" i="66"/>
  <c r="V37" i="66"/>
  <c r="W37" i="66" s="1"/>
  <c r="V48" i="66"/>
  <c r="W48" i="66" s="1"/>
  <c r="N62" i="66"/>
  <c r="V62" i="66" s="1"/>
  <c r="W62" i="66" s="1"/>
  <c r="Y63" i="66"/>
  <c r="W53" i="66"/>
  <c r="D18" i="50"/>
  <c r="K49" i="50"/>
  <c r="N63" i="66" l="1"/>
  <c r="N65" i="66" s="1"/>
  <c r="N68" i="66" s="1"/>
  <c r="N74" i="66" s="1"/>
  <c r="N76" i="66" s="1"/>
  <c r="H74" i="66"/>
  <c r="H76" i="66" s="1"/>
  <c r="I64" i="66"/>
  <c r="W64" i="66" s="1"/>
  <c r="J65" i="66"/>
  <c r="V63" i="66"/>
  <c r="I63" i="66"/>
  <c r="I65" i="66" s="1"/>
  <c r="I81" i="66"/>
  <c r="Q74" i="50"/>
  <c r="Q41" i="50"/>
  <c r="N30" i="50"/>
  <c r="K38" i="50"/>
  <c r="N21" i="50"/>
  <c r="K7" i="50"/>
  <c r="Q61" i="50"/>
  <c r="Q44" i="50"/>
  <c r="Q50" i="50"/>
  <c r="Q43" i="50"/>
  <c r="Q49" i="50"/>
  <c r="X64" i="66" l="1"/>
  <c r="X65" i="66" s="1"/>
  <c r="I74" i="66"/>
  <c r="I76" i="66" s="1"/>
  <c r="I68" i="66"/>
  <c r="W63" i="66"/>
  <c r="J68" i="66"/>
  <c r="K19" i="50"/>
  <c r="K17" i="50"/>
  <c r="C64" i="50"/>
  <c r="E64" i="50"/>
  <c r="D48" i="50"/>
  <c r="D47" i="50"/>
  <c r="D46" i="50"/>
  <c r="D45" i="50"/>
  <c r="D44" i="50"/>
  <c r="D43" i="50"/>
  <c r="D42" i="50"/>
  <c r="D41" i="50"/>
  <c r="D40" i="50"/>
  <c r="D39" i="50"/>
  <c r="D38" i="50"/>
  <c r="D37" i="50"/>
  <c r="D36" i="50"/>
  <c r="J109" i="69"/>
  <c r="M109" i="69"/>
  <c r="N109" i="69"/>
  <c r="Q107" i="69"/>
  <c r="Q88" i="69"/>
  <c r="I88" i="69"/>
  <c r="Q86" i="69"/>
  <c r="Q63" i="69"/>
  <c r="I53" i="69"/>
  <c r="I65" i="69"/>
  <c r="P65" i="69" s="1"/>
  <c r="P108" i="69" s="1"/>
  <c r="O48" i="69"/>
  <c r="I48" i="69" s="1"/>
  <c r="Q48" i="69" s="1"/>
  <c r="Q108" i="69" s="1"/>
  <c r="H74" i="69"/>
  <c r="I72" i="69" s="1"/>
  <c r="Q72" i="69" s="1"/>
  <c r="G109" i="69"/>
  <c r="F109" i="69"/>
  <c r="E109" i="69"/>
  <c r="D109" i="69"/>
  <c r="C107" i="69"/>
  <c r="K107" i="69" s="1"/>
  <c r="N89" i="69"/>
  <c r="N86" i="69"/>
  <c r="L72" i="69"/>
  <c r="L65" i="69"/>
  <c r="L63" i="69"/>
  <c r="K61" i="69"/>
  <c r="C61" i="69"/>
  <c r="L59" i="69"/>
  <c r="L53" i="69"/>
  <c r="Q53" i="69"/>
  <c r="L48" i="69"/>
  <c r="O45" i="69"/>
  <c r="C45" i="69"/>
  <c r="K44" i="69"/>
  <c r="N44" i="69" s="1"/>
  <c r="P43" i="69"/>
  <c r="K41" i="69"/>
  <c r="N41" i="69" s="1"/>
  <c r="P40" i="69"/>
  <c r="K38" i="69"/>
  <c r="L38" i="69" s="1"/>
  <c r="N38" i="69" s="1"/>
  <c r="Q37" i="69"/>
  <c r="L35" i="69"/>
  <c r="K35" i="69"/>
  <c r="N35" i="69" s="1"/>
  <c r="K31" i="69"/>
  <c r="N31" i="69" s="1"/>
  <c r="I29" i="69"/>
  <c r="Q29" i="69" s="1"/>
  <c r="Q27" i="69"/>
  <c r="K27" i="69"/>
  <c r="N27" i="69" s="1"/>
  <c r="Q25" i="69"/>
  <c r="N25" i="69"/>
  <c r="L25" i="69"/>
  <c r="I23" i="69"/>
  <c r="I22" i="69"/>
  <c r="I19" i="69"/>
  <c r="H19" i="69"/>
  <c r="H18" i="69" s="1"/>
  <c r="Q16" i="69"/>
  <c r="K16" i="69"/>
  <c r="N16" i="69" s="1"/>
  <c r="N14" i="69"/>
  <c r="Q12" i="69"/>
  <c r="K12" i="69"/>
  <c r="N12" i="69" s="1"/>
  <c r="Q10" i="69"/>
  <c r="K10" i="69"/>
  <c r="N10" i="69" s="1"/>
  <c r="K8" i="69"/>
  <c r="S7" i="69"/>
  <c r="S10" i="69" s="1"/>
  <c r="U6" i="69"/>
  <c r="I5" i="69"/>
  <c r="P5" i="69" s="1"/>
  <c r="H5" i="69"/>
  <c r="I60" i="67"/>
  <c r="Q60" i="67" s="1"/>
  <c r="I48" i="67"/>
  <c r="Q48" i="67" s="1"/>
  <c r="O45" i="67"/>
  <c r="Q37" i="67"/>
  <c r="Q16" i="67"/>
  <c r="I29" i="67"/>
  <c r="Q29" i="67" s="1"/>
  <c r="Q27" i="67"/>
  <c r="Q25" i="67"/>
  <c r="Q12" i="67"/>
  <c r="Q10" i="67"/>
  <c r="P40" i="67"/>
  <c r="P43" i="67"/>
  <c r="I57" i="68"/>
  <c r="G57" i="68"/>
  <c r="F57" i="68"/>
  <c r="E57" i="68"/>
  <c r="H58" i="68" s="1"/>
  <c r="E56" i="68"/>
  <c r="H45" i="68"/>
  <c r="M56" i="68" s="1"/>
  <c r="K44" i="68"/>
  <c r="K42" i="68"/>
  <c r="H42" i="68"/>
  <c r="H57" i="68" s="1"/>
  <c r="E42" i="68"/>
  <c r="K41" i="68"/>
  <c r="K40" i="68"/>
  <c r="K39" i="68"/>
  <c r="K38" i="68"/>
  <c r="K37" i="68"/>
  <c r="K36" i="68"/>
  <c r="K35" i="68"/>
  <c r="K34" i="68"/>
  <c r="K33" i="68"/>
  <c r="K32" i="68"/>
  <c r="K31" i="68"/>
  <c r="E30" i="68"/>
  <c r="K30" i="68" s="1"/>
  <c r="K29" i="68"/>
  <c r="E28" i="68"/>
  <c r="K28" i="68" s="1"/>
  <c r="K27" i="68"/>
  <c r="K26" i="68"/>
  <c r="K25" i="68"/>
  <c r="E24" i="68"/>
  <c r="K24" i="68" s="1"/>
  <c r="K23" i="68"/>
  <c r="K22" i="68"/>
  <c r="K21" i="68"/>
  <c r="H18" i="68"/>
  <c r="C18" i="68"/>
  <c r="H17" i="68"/>
  <c r="K17" i="68" s="1"/>
  <c r="K16" i="68"/>
  <c r="K13" i="68"/>
  <c r="K11" i="68"/>
  <c r="K10" i="68"/>
  <c r="K9" i="68"/>
  <c r="K7" i="68"/>
  <c r="K6" i="68"/>
  <c r="K5" i="68"/>
  <c r="W65" i="66" l="1"/>
  <c r="X74" i="66"/>
  <c r="X76" i="66" s="1"/>
  <c r="X68" i="66"/>
  <c r="Y64" i="66"/>
  <c r="Y65" i="66" s="1"/>
  <c r="M41" i="68"/>
  <c r="M57" i="68" s="1"/>
  <c r="I18" i="69"/>
  <c r="P18" i="69" s="1"/>
  <c r="P45" i="69" s="1"/>
  <c r="P109" i="69" s="1"/>
  <c r="O108" i="69"/>
  <c r="R108" i="69" s="1"/>
  <c r="H108" i="69"/>
  <c r="D50" i="50"/>
  <c r="C54" i="50" s="1"/>
  <c r="I108" i="69"/>
  <c r="K23" i="69"/>
  <c r="N23" i="69" s="1"/>
  <c r="C108" i="69"/>
  <c r="C109" i="69" s="1"/>
  <c r="K108" i="69"/>
  <c r="H45" i="69"/>
  <c r="L61" i="69"/>
  <c r="Q45" i="69"/>
  <c r="I45" i="69"/>
  <c r="N8" i="69"/>
  <c r="L27" i="69"/>
  <c r="L45" i="69" s="1"/>
  <c r="L109" i="69" s="1"/>
  <c r="Q45" i="67"/>
  <c r="R45" i="67" s="1"/>
  <c r="K57" i="68"/>
  <c r="K18" i="68"/>
  <c r="E58" i="68"/>
  <c r="W68" i="66" l="1"/>
  <c r="W74" i="66" s="1"/>
  <c r="W76" i="66" s="1"/>
  <c r="V74" i="66"/>
  <c r="V76" i="66" s="1"/>
  <c r="Y74" i="66"/>
  <c r="Y76" i="66" s="1"/>
  <c r="Y68" i="66"/>
  <c r="R45" i="69"/>
  <c r="R109" i="69" s="1"/>
  <c r="Q109" i="69"/>
  <c r="K45" i="69"/>
  <c r="K109" i="69" s="1"/>
  <c r="O109" i="69"/>
  <c r="B60" i="51"/>
  <c r="B31" i="51"/>
  <c r="D28" i="58"/>
  <c r="D63" i="59"/>
  <c r="B55" i="59"/>
  <c r="D31" i="59"/>
  <c r="D55" i="59" s="1"/>
  <c r="D17" i="59"/>
  <c r="E43" i="63"/>
  <c r="E44" i="63" s="1"/>
  <c r="E42" i="63"/>
  <c r="E24" i="63"/>
  <c r="C18" i="63"/>
  <c r="G90" i="67"/>
  <c r="F90" i="67"/>
  <c r="E90" i="67"/>
  <c r="D90" i="67"/>
  <c r="I89" i="67"/>
  <c r="H89" i="67"/>
  <c r="C88" i="67"/>
  <c r="K88" i="67" s="1"/>
  <c r="N79" i="67"/>
  <c r="N77" i="67"/>
  <c r="L69" i="67"/>
  <c r="L68" i="67"/>
  <c r="L67" i="67"/>
  <c r="K66" i="67"/>
  <c r="K89" i="67" s="1"/>
  <c r="C66" i="67"/>
  <c r="C89" i="67" s="1"/>
  <c r="L65" i="67"/>
  <c r="L60" i="67"/>
  <c r="L48" i="67"/>
  <c r="C45" i="67"/>
  <c r="K44" i="67"/>
  <c r="N44" i="67" s="1"/>
  <c r="K41" i="67"/>
  <c r="N41" i="67" s="1"/>
  <c r="K38" i="67"/>
  <c r="L38" i="67" s="1"/>
  <c r="N38" i="67" s="1"/>
  <c r="L35" i="67"/>
  <c r="K35" i="67"/>
  <c r="N35" i="67" s="1"/>
  <c r="K31" i="67"/>
  <c r="N31" i="67" s="1"/>
  <c r="K27" i="67"/>
  <c r="L27" i="67" s="1"/>
  <c r="N25" i="67"/>
  <c r="L25" i="67"/>
  <c r="I23" i="67"/>
  <c r="I22" i="67"/>
  <c r="I19" i="67"/>
  <c r="H19" i="67"/>
  <c r="H18" i="67" s="1"/>
  <c r="K16" i="67"/>
  <c r="N16" i="67" s="1"/>
  <c r="N14" i="67"/>
  <c r="K12" i="67"/>
  <c r="N12" i="67" s="1"/>
  <c r="K10" i="67"/>
  <c r="N10" i="67" s="1"/>
  <c r="K8" i="67"/>
  <c r="N8" i="67" s="1"/>
  <c r="S7" i="67"/>
  <c r="S10" i="67" s="1"/>
  <c r="U6" i="67"/>
  <c r="I5" i="67"/>
  <c r="H5" i="67"/>
  <c r="B40" i="57"/>
  <c r="B41" i="57" s="1"/>
  <c r="F39" i="57"/>
  <c r="F38" i="57"/>
  <c r="D38" i="57" s="1"/>
  <c r="C38" i="57"/>
  <c r="F37" i="57"/>
  <c r="F36" i="57"/>
  <c r="F35" i="57"/>
  <c r="F34" i="57"/>
  <c r="F33" i="57"/>
  <c r="F32" i="57"/>
  <c r="C31" i="57"/>
  <c r="C40" i="57" s="1"/>
  <c r="F30" i="57"/>
  <c r="F29" i="57"/>
  <c r="F27" i="57"/>
  <c r="D27" i="57" s="1"/>
  <c r="F23" i="57"/>
  <c r="D23" i="57"/>
  <c r="C22" i="57"/>
  <c r="C24" i="57" s="1"/>
  <c r="B22" i="57"/>
  <c r="B24" i="57" s="1"/>
  <c r="B26" i="57" s="1"/>
  <c r="C21" i="57"/>
  <c r="F21" i="57" s="1"/>
  <c r="D21" i="57" s="1"/>
  <c r="B21" i="57"/>
  <c r="F20" i="57"/>
  <c r="D20" i="57"/>
  <c r="C19" i="57"/>
  <c r="F19" i="57" s="1"/>
  <c r="D19" i="57" s="1"/>
  <c r="F18" i="57"/>
  <c r="D18" i="57"/>
  <c r="F17" i="57"/>
  <c r="D17" i="57" s="1"/>
  <c r="F16" i="57"/>
  <c r="D16" i="57"/>
  <c r="F15" i="57"/>
  <c r="C14" i="57"/>
  <c r="F14" i="57" s="1"/>
  <c r="D14" i="57" s="1"/>
  <c r="B14" i="57"/>
  <c r="F13" i="57"/>
  <c r="D13" i="57"/>
  <c r="F12" i="57"/>
  <c r="D12" i="57"/>
  <c r="C12" i="57"/>
  <c r="F11" i="57"/>
  <c r="D11" i="57"/>
  <c r="C11" i="57"/>
  <c r="F10" i="57"/>
  <c r="R62" i="50"/>
  <c r="R52" i="50"/>
  <c r="R34" i="50"/>
  <c r="E24" i="50"/>
  <c r="K32" i="50"/>
  <c r="N12" i="50"/>
  <c r="N32" i="50" s="1"/>
  <c r="K34" i="50" s="1"/>
  <c r="E12" i="50"/>
  <c r="F25" i="50" l="1"/>
  <c r="F27" i="50" s="1"/>
  <c r="F32" i="50" s="1"/>
  <c r="C52" i="50" s="1"/>
  <c r="C55" i="50" s="1"/>
  <c r="F24" i="57"/>
  <c r="D24" i="57" s="1"/>
  <c r="B45" i="57"/>
  <c r="B44" i="57"/>
  <c r="F55" i="59"/>
  <c r="C41" i="57"/>
  <c r="F40" i="57"/>
  <c r="D40" i="57" s="1"/>
  <c r="K40" i="50"/>
  <c r="C25" i="57"/>
  <c r="F25" i="57" s="1"/>
  <c r="D25" i="57" s="1"/>
  <c r="B28" i="57"/>
  <c r="F22" i="57"/>
  <c r="D22" i="57" s="1"/>
  <c r="F31" i="57"/>
  <c r="D31" i="57" s="1"/>
  <c r="I18" i="67"/>
  <c r="P18" i="67" s="1"/>
  <c r="K23" i="67"/>
  <c r="N23" i="67" s="1"/>
  <c r="L45" i="67"/>
  <c r="I45" i="67"/>
  <c r="I90" i="67" s="1"/>
  <c r="N27" i="67"/>
  <c r="C90" i="67"/>
  <c r="H45" i="67"/>
  <c r="H90" i="67" s="1"/>
  <c r="P5" i="67"/>
  <c r="P45" i="67" s="1"/>
  <c r="L66" i="67"/>
  <c r="K39" i="50" l="1"/>
  <c r="K42" i="50" s="1"/>
  <c r="C44" i="57"/>
  <c r="F41" i="57"/>
  <c r="D41" i="57" s="1"/>
  <c r="C26" i="57"/>
  <c r="C45" i="57" s="1"/>
  <c r="K45" i="67"/>
  <c r="K90" i="67" s="1"/>
  <c r="C28" i="57" l="1"/>
  <c r="F28" i="57" s="1"/>
  <c r="D28" i="57" s="1"/>
  <c r="F26" i="57"/>
  <c r="D26" i="57" s="1"/>
</calcChain>
</file>

<file path=xl/comments1.xml><?xml version="1.0" encoding="utf-8"?>
<comments xmlns="http://schemas.openxmlformats.org/spreadsheetml/2006/main">
  <authors>
    <author>ACER</author>
    <author>Admin</author>
  </authors>
  <commentList>
    <comment ref="B40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คอมพิวเตอร์ /สำนักงาน/บริโภค/เชื้อเพลิง/เครื่องแต่งกาย/งานบ้านงานครัว/ยานพาหนะ/ไฟฟ้า-วิทยุ/ก่อสร้าง/โฆษณาเผยแพร่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ACER:ตั้งค่าน้ำยาสรรพสิทธเดือนละ 300000*5ด</t>
        </r>
      </text>
    </comment>
    <comment ref="M50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คอมพิวเตอร์ /สำนักงาน/บริโภค/เชื้อเพลิง/เครื่องแต่งกาย/งานบ้านงานครัว/ยานพาหนะ/ไฟฟ้า-วิทยุ/ก่อสร้าง/โฆษณาเผยแพร่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5210010103.101คชจ.ระหว่างหน่วยงานรด.แผ่นดินให้กรมบัญชีกลาง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5210010103.101คชจ.ระหว่างหน่วยงานรด.แผ่นดินให้กรมบัญชีกลาง</t>
        </r>
      </text>
    </comment>
    <comment ref="B27" authorId="0" shapeId="0">
      <text>
        <r>
          <rPr>
            <sz val="9"/>
            <color indexed="81"/>
            <rFont val="Tahoma"/>
            <family val="2"/>
          </rPr>
          <t xml:space="preserve">หนี้สิน   1,007,720,154.41
หัก ฝากธนาคารเป็นเงินรับฝาก   335,398,139.44
หัก เงินบริจาครอรับรุ้   39,901.00
คงเหลือ ภาระผูกพัน    672,282,113.97
</t>
        </r>
      </text>
    </comment>
  </commentList>
</comments>
</file>

<file path=xl/comments3.xml><?xml version="1.0" encoding="utf-8"?>
<comments xmlns="http://schemas.openxmlformats.org/spreadsheetml/2006/main">
  <authors>
    <author>ACER</author>
  </authors>
  <commentList>
    <comment ref="E28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เพิ่ม100000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กายภาพ500000</t>
        </r>
      </text>
    </comment>
  </commentList>
</comments>
</file>

<file path=xl/comments4.xml><?xml version="1.0" encoding="utf-8"?>
<comments xmlns="http://schemas.openxmlformats.org/spreadsheetml/2006/main">
  <authors>
    <author>ACER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<sst xmlns="http://schemas.openxmlformats.org/spreadsheetml/2006/main" count="1369" uniqueCount="727">
  <si>
    <t>ลำดับ</t>
  </si>
  <si>
    <t>รายการ</t>
  </si>
  <si>
    <t>ค่าตอบแทน OT</t>
  </si>
  <si>
    <t>ครุภัณฑ์</t>
  </si>
  <si>
    <t>เงินที่ไม่สามารถใช้ได้</t>
  </si>
  <si>
    <t>ค่าไฟฟ้า</t>
  </si>
  <si>
    <t>ค่าไปรษณีย์</t>
  </si>
  <si>
    <t xml:space="preserve">                           รวมเงินที่ไม่สามารถใช้ได้</t>
  </si>
  <si>
    <t>ยา</t>
  </si>
  <si>
    <t>เวชภัณฑ์มิใช่ยา</t>
  </si>
  <si>
    <t>วัสดุวิทยาศาสตร์การแพทย์</t>
  </si>
  <si>
    <t>วัสดุทันตฯ</t>
  </si>
  <si>
    <t xml:space="preserve">ค่าจ้างลูกจ้าง/พกส  </t>
  </si>
  <si>
    <t xml:space="preserve">ค่าจ้างรายวัน </t>
  </si>
  <si>
    <t>ค่าไม่เปิดเวชปฏิบัติ</t>
  </si>
  <si>
    <t>ค่าเบี้ยเลี้ยง ฉ.11</t>
  </si>
  <si>
    <t>ค่าน้ำ</t>
  </si>
  <si>
    <t>ค่าโทรศัพท์</t>
  </si>
  <si>
    <t>ค่าสมทบประกันสังคม</t>
  </si>
  <si>
    <t>ค่าสมทบกองทุน พกส.</t>
  </si>
  <si>
    <t>รวม Fixcost ต่อเดือน</t>
  </si>
  <si>
    <t>วัสดุอื่น ๆ</t>
  </si>
  <si>
    <t>4. ปรับปรุงบ่อบำบัด</t>
  </si>
  <si>
    <t>3. ลานอเนกประสงค์</t>
  </si>
  <si>
    <t>1. สระธาราบำบัด</t>
  </si>
  <si>
    <t>Fixcost ของโรงพยาบาลม่วงสามสิบ /เดือน</t>
  </si>
  <si>
    <t>หมายเหตุ  รายละเอียดประกอบข้อ 9</t>
  </si>
  <si>
    <t>6. ค่าก่อสร้างอาคารที่พัก (อาคารสีเขียว)</t>
  </si>
  <si>
    <t>7. อาคารแฟลตปลาทอง (อเนกประสงค์)</t>
  </si>
  <si>
    <t>8. ต่อเดิมห้องเก็บของผู้ป่วยใน</t>
  </si>
  <si>
    <t xml:space="preserve">9. ปรับปรุงห้องทำงานผู้ป่วยใน </t>
  </si>
  <si>
    <t xml:space="preserve">     -งบค่าเสื่อม(แลกงบ)</t>
  </si>
  <si>
    <t xml:space="preserve">       1. เงินบริจาค </t>
  </si>
  <si>
    <t>รวมเป็นเงินทั้งสิ้น</t>
  </si>
  <si>
    <t xml:space="preserve"> รวมหนี้ทั้งสิ้น </t>
  </si>
  <si>
    <t>ค่าจ้างเหมาฟอกเลือด (อุบลรีนอลแคร์)</t>
  </si>
  <si>
    <t xml:space="preserve">                         คงเหลือ  </t>
  </si>
  <si>
    <t xml:space="preserve">2. ขยายอาคาร OPD  งวดที่ 1-5 </t>
  </si>
  <si>
    <t>17. ปรับปรุงห้องประชุมเวช(งบค่าเสื่อม 1,300,000)</t>
  </si>
  <si>
    <t>18. ย้ายระบบไฟฟ้าสำรองคลังยา+ห้องจ่ายกลาง</t>
  </si>
  <si>
    <t xml:space="preserve">       2.เงินงบลงทุน</t>
  </si>
  <si>
    <t xml:space="preserve"> สิ่งก่อสร้าง/ครุภัณฑ์ที่จ่ายไปแล้ว ตั้งแต่ 1 ตค 63-30 กย 64 (ประจำปีงบประมาณ 2564)</t>
  </si>
  <si>
    <t>19. งานปรับปรุงโถงทางเข้า OPD</t>
  </si>
  <si>
    <t>20. โครงสร้างธาราบำบัด</t>
  </si>
  <si>
    <t>21. งานปรับปรุงห้องทำงานเจ้าหน้าที่ ARI</t>
  </si>
  <si>
    <t>5 .ปรับปรุงโรงอาหาร (คลินิกออมหวาน)</t>
  </si>
  <si>
    <t>1.ต่อเติมห้องเก็บของ ห้องไต</t>
  </si>
  <si>
    <t xml:space="preserve">       แอร์ห้องประชุมเวช</t>
  </si>
  <si>
    <t>22. งานปรับปรุงฝ้าเพดานระบบไฟฟ้าและระบบจับควันไฟ</t>
  </si>
  <si>
    <t>23. ห้องน้ำผู้ป่วยโควิด</t>
  </si>
  <si>
    <t>24. ตกแต่งอาคาร OPD (ผ้าม่าน)</t>
  </si>
  <si>
    <t>25. เครื่องแอร์ อาคาร OPD</t>
  </si>
  <si>
    <t>10. ระบบ Network</t>
  </si>
  <si>
    <t>11. อาคารโรงปั่นไฟฟ้า</t>
  </si>
  <si>
    <t>12. ย้ายเสาไฟฟ้าแรงสูง</t>
  </si>
  <si>
    <t>13. ถนนข้างคลังยา</t>
  </si>
  <si>
    <t>14. ต่อเติมห้องประชุมประสานใจ</t>
  </si>
  <si>
    <t>15. ถนนภายใน(งบค่าเสื่อม 1,300,000)</t>
  </si>
  <si>
    <t>16.ห้องน้ำผู้ป่วยนอก(งบค่าเสื่อม 1,300,000)</t>
  </si>
  <si>
    <t>กองทุนแพทย์แผนไทย</t>
  </si>
  <si>
    <t>กองทุน HIV</t>
  </si>
  <si>
    <t>กองทุน UC (OP IP HC)</t>
  </si>
  <si>
    <t>กองทุน TB</t>
  </si>
  <si>
    <t>กองทุน อปท. (HD OP IP)</t>
  </si>
  <si>
    <t>พรบ. OP</t>
  </si>
  <si>
    <t>พรบ. IP</t>
  </si>
  <si>
    <t>เบิกจ่ายตรง OP</t>
  </si>
  <si>
    <t>เบิกจ่ายตรง IP</t>
  </si>
  <si>
    <t>ประกันสังคม OP</t>
  </si>
  <si>
    <t>ประกันสังคม IP</t>
  </si>
  <si>
    <t>ฟอกไต (กรมบัญชีกลาง/ปกส)</t>
  </si>
  <si>
    <t>EMS</t>
  </si>
  <si>
    <t>รายได้ตรวจสุขภาพภายนอก</t>
  </si>
  <si>
    <t>ประกันสังคม (โควิด)</t>
  </si>
  <si>
    <t>กองทุนผู้ป่วยไตวายเรื้อรัง CAPD</t>
  </si>
  <si>
    <t>กองทุนฟื้นฟูสมรรถภาพด้านการแพทย์</t>
  </si>
  <si>
    <t>ผู้ป่วยไตวายเรื้อรัง HD</t>
  </si>
  <si>
    <t>เหมาจ่าย Hi/ci stm</t>
  </si>
  <si>
    <t xml:space="preserve">       3. เงินอุดหนุนพัฒนาการฝึกอบรมแพทย์เวชศาสตร์ครอบครัว</t>
  </si>
  <si>
    <t xml:space="preserve">       4. เงินฝากคลัง</t>
  </si>
  <si>
    <t>26. ติดตั้งระบบชุดหัวจ่ายก๊าชทางการแพทย์ (ไปป์ไลน์) ผู้ป่วยใน 4</t>
  </si>
  <si>
    <t>27. ห้องความดันลบ ER</t>
  </si>
  <si>
    <t>จ่ายเงินแล้ว</t>
  </si>
  <si>
    <t>รอแบบแปลน</t>
  </si>
  <si>
    <t xml:space="preserve"> สิ่งก่อสร้าง/ครุภัณฑ์ที่จ่ายไปแล้ว ตั้งแต่ 1 ตค 64-30 กย 65 (ประจำปีงบประมาณ 2565)</t>
  </si>
  <si>
    <t>หจก.ฟิลด์สำรวจและก่อสร้าง</t>
  </si>
  <si>
    <t>1.ก่อสร้างอาคารพักพยาบาล 10 ห้อง 2 ชั้น</t>
  </si>
  <si>
    <t>2.ปรับปรุงโรงจอดรถ Refer</t>
  </si>
  <si>
    <t>อยู่ระหว่างดำเนินการ</t>
  </si>
  <si>
    <t>อยู่กำลังดำเนินการ</t>
  </si>
  <si>
    <t xml:space="preserve">แอร์ 100,000 </t>
  </si>
  <si>
    <t>3.ปรับปรุงโรงเก็บขยะติดเชื้อ</t>
  </si>
  <si>
    <t>กองทุน CF</t>
  </si>
  <si>
    <t>อปท. รูปแบบพิเศษ กรุงเทพ (OP IP)</t>
  </si>
  <si>
    <t>ค่าซ่อมแซม</t>
  </si>
  <si>
    <t>pcc</t>
  </si>
  <si>
    <t>จิตเวช</t>
  </si>
  <si>
    <t>รายได้ใบรับรองแพทย์</t>
  </si>
  <si>
    <t>คงเหลือเงินที่ใช้บริหารจัด</t>
  </si>
  <si>
    <t xml:space="preserve">ค่าครุภัณฑ์ </t>
  </si>
  <si>
    <t>บาท</t>
  </si>
  <si>
    <t>ประกันสังคม (สิทธิทันตกรรม)</t>
  </si>
  <si>
    <t>ประกันสังคม (72 ชม.)</t>
  </si>
  <si>
    <t>นค.1 ต่างสังกัด</t>
  </si>
  <si>
    <t>ปัญหาสถานะสิทธิ</t>
  </si>
  <si>
    <t>ทาลัสซีเมีย</t>
  </si>
  <si>
    <t>ประกันสังคมสำหรับคนพิการ</t>
  </si>
  <si>
    <t>(จากเดิม 150,000บาท</t>
  </si>
  <si>
    <t>2. ปรับปรุงหลังอาคาร ward4</t>
  </si>
  <si>
    <t>4.ปรับปรุงระบบให้สุขศึกษาในรพ.</t>
  </si>
  <si>
    <t>5.ปรับหลังคาและภายในอาคารคลังยา</t>
  </si>
  <si>
    <t>6. ปรับปรุงบ้านพัก  (คุณรุ่งทวี คุณสาวิตรี)</t>
  </si>
  <si>
    <t>7. ที่จอดรถข้างรั้ว</t>
  </si>
  <si>
    <t>8. ที่จอดรถหัวหน้ากลุ่ม</t>
  </si>
  <si>
    <t>9 ปรับปรุงห้องเชิร์ฟเวอร์</t>
  </si>
  <si>
    <t>10. ปรับปรุงอาคารเก็บวัสดุผู้ป่วยใน</t>
  </si>
  <si>
    <t>11. ปรับปรุงถนนบ้านพัก (หน้าแฟลต์เขียวไปแฟลต 2 ชั้น)</t>
  </si>
  <si>
    <t>12. ปรับปรุงระบบ Smat  hospital (คิว)</t>
  </si>
  <si>
    <t>13. ปรับปรุงอาคารโรงครัว</t>
  </si>
  <si>
    <t>ค่าจ้างเหมาตรวจห้องปฏิบัติการ</t>
  </si>
  <si>
    <t>ค่าวัสดุห้องLab+น้ำยา+ภาครัฐ</t>
  </si>
  <si>
    <t>ค่าจ้างเหมาบริการอื่น ๆ</t>
  </si>
  <si>
    <t>ค่าครุภัณฑ์ ต่ำกว่าเกณฑ์</t>
  </si>
  <si>
    <t>3.ปรับปรุงห้องบริหาร</t>
  </si>
  <si>
    <t>4.ไปป์ไลน์ผู้ป่วยใน4</t>
  </si>
  <si>
    <t>5.ปรับปรุงสำนักงานศูนย์ยานพาหนะ</t>
  </si>
  <si>
    <t>6.ก่อสร้างอาคารฟิตเนส</t>
  </si>
  <si>
    <t>7.ปรับปรุงห้องอาบน้ำ</t>
  </si>
  <si>
    <t>8.ปรับปรุงประตูทางออกสระว่ายน้ำ</t>
  </si>
  <si>
    <t>9.ระบบน้ำอุ่นธาราบำบัด</t>
  </si>
  <si>
    <t>10.ระบบป้ายไฟหน้าโรงพยาบาล</t>
  </si>
  <si>
    <t>11.ปรับปรุงห้องสำนักงานกลุ่มงานการแพทย์</t>
  </si>
  <si>
    <t>12.ปรับปรุงห้องอุบัติเหตุฉุกเฉิน</t>
  </si>
  <si>
    <t>13. ทาสีอาคารห้อง Lab  รวมทั้งอาคารทันตะ</t>
  </si>
  <si>
    <t>14. ปรับปรุงห้องพักแพทย์</t>
  </si>
  <si>
    <t>15. ปรับปรุงระบบไฟ้ (ER ป้ายบอกทาง)</t>
  </si>
  <si>
    <t>16. ระบบสุขศึกษาภายใน รพ. (อนันตศักดิ์)</t>
  </si>
  <si>
    <t>17. ปรับปรุงห้องน้ำบ้านพักรับรอง</t>
  </si>
  <si>
    <t>18.ก่อสร้างห้องน้ำอาคารส่งเสริม 4 ห้อง</t>
  </si>
  <si>
    <t>19.เทพื้นคอนกรีตใต้ทางลาด</t>
  </si>
  <si>
    <t>20ทางเชื่อมไปโรงครัว+หลังคาผู้ป่วยใน</t>
  </si>
  <si>
    <t xml:space="preserve">   </t>
  </si>
  <si>
    <t>หนี้ยกมา</t>
  </si>
  <si>
    <t>เงินรับโอนจากหน่วยงานอื่น (Non UC)</t>
  </si>
  <si>
    <t xml:space="preserve">1. งบ OP </t>
  </si>
  <si>
    <t xml:space="preserve">2. งบ PP+non   </t>
  </si>
  <si>
    <t xml:space="preserve">3. งบ IP </t>
  </si>
  <si>
    <t xml:space="preserve">4. รายได้ COViD-19 </t>
  </si>
  <si>
    <t xml:space="preserve">          งบ OP   =   </t>
  </si>
  <si>
    <t xml:space="preserve">          งบ IP    =    </t>
  </si>
  <si>
    <t>6. งบลงทุน</t>
  </si>
  <si>
    <t>รวมทั้งสิ้น</t>
  </si>
  <si>
    <t>สถานการณ์การเงินการคลังโรงพยาบาลม่วงสามสิบ</t>
  </si>
  <si>
    <t>7. เงินกองทุนอื่น ๆ</t>
  </si>
  <si>
    <t>รายได้ชำระเงิน OP</t>
  </si>
  <si>
    <t>รายได้ชำระเงิน IP</t>
  </si>
  <si>
    <t>ค่าธรรมเนียม UC</t>
  </si>
  <si>
    <t>ดอกเบี้ยเงินฝากธนาคาร</t>
  </si>
  <si>
    <t>หมวดค่าใช้จ่ายอื่นๆ</t>
  </si>
  <si>
    <t>รวมรับทั้งสิ้น</t>
  </si>
  <si>
    <t>หัก  ชำระหนี้รายเดือน 75%</t>
  </si>
  <si>
    <t>แผนจ่าย 75%</t>
  </si>
  <si>
    <t>อบจ.</t>
  </si>
  <si>
    <t>บัญชีรายชื่อเจ้าหน้าที่เพื่อแต่งตั้งเป็นคณะกรรมการบริหารโรงพยาบาลชุมชน ประจำปี 2564</t>
  </si>
  <si>
    <t>ชื่อ – สกุล</t>
  </si>
  <si>
    <t>ตำแหน่ง</t>
  </si>
  <si>
    <t>ให้แต่งตั้งเป็น</t>
  </si>
  <si>
    <t>ประธาน/รองประธาน/กรรมการ/เลขานุการ</t>
  </si>
  <si>
    <t>ประเภท</t>
  </si>
  <si>
    <t>(ข้าราชการ/พ.ราชการ/พกส./ลูกจ้างประจำ)</t>
  </si>
  <si>
    <t>นายประจักษ์  สีลาชาติ</t>
  </si>
  <si>
    <t>ผู้อำนวยการโรงพยาบาลม่วงสามสิบ</t>
  </si>
  <si>
    <t>ประธาน</t>
  </si>
  <si>
    <t>ข้าราชการ</t>
  </si>
  <si>
    <t>นายปิยะมิตร  บุญปก</t>
  </si>
  <si>
    <t>นายแพทย์ชำนาญการ</t>
  </si>
  <si>
    <t>รองประธาน</t>
  </si>
  <si>
    <t>นางสาวญาณี  ใจแก้ว</t>
  </si>
  <si>
    <t>ทันตแพทย์เชี่ยวชาญ</t>
  </si>
  <si>
    <t>กรรมการ</t>
  </si>
  <si>
    <t>นายคำภีร์  เขตมนตรี</t>
  </si>
  <si>
    <t>เภสัชกรชำนาญการพิเศษ</t>
  </si>
  <si>
    <t>นางธนภร  สนิทอินทร์</t>
  </si>
  <si>
    <t>พยาบาลวิชาชีพชำนาญการ</t>
  </si>
  <si>
    <t>นายชัชวาล  คุปติธรรมา</t>
  </si>
  <si>
    <t>นักเทคนิคการแพทย์ชำนาญการ</t>
  </si>
  <si>
    <t>นางระรินทิพย์  ธรรมเจริญ</t>
  </si>
  <si>
    <t>นายจีระพงษ์  สองศรี</t>
  </si>
  <si>
    <t>นายกฤษดา  หนูวัฒนา</t>
  </si>
  <si>
    <t>นางกรรณิการ์  คุปติธรรมา</t>
  </si>
  <si>
    <t>นางสาวอรศรี  วันดี</t>
  </si>
  <si>
    <t>นางสาวกาญจนา  สายเบาะ</t>
  </si>
  <si>
    <t>นางนุชกานต์  สองศรี</t>
  </si>
  <si>
    <t>นายวิชญานนท์  ทุมมา</t>
  </si>
  <si>
    <t>นักกายภาพบำบัดปฏิบัติการ</t>
  </si>
  <si>
    <t>นายประไพ  สายพฤกษ์</t>
  </si>
  <si>
    <t>พนักงานขับรถยนต์</t>
  </si>
  <si>
    <t>นางบุญส่ง  เทพมุสิก</t>
  </si>
  <si>
    <t>เจ้าพนักงานพัสดุ</t>
  </si>
  <si>
    <t>พกส.</t>
  </si>
  <si>
    <t>นายทองดี  กุลวงศ์</t>
  </si>
  <si>
    <t>พนักงานประจำตึก</t>
  </si>
  <si>
    <t>นางกัลยา  ชลกาญจน์</t>
  </si>
  <si>
    <t>กรรมการ/เลขานุการ</t>
  </si>
  <si>
    <t>นางสาวกุลธิดา  เรืออาจ</t>
  </si>
  <si>
    <t>นักวิชาการสาธารณสุขปฏิบัติการ</t>
  </si>
  <si>
    <t>นางสาวสุชาดา  ลอยฟ้า</t>
  </si>
  <si>
    <t>พนักงานธุรการ</t>
  </si>
  <si>
    <t>ผช.เลขาฯ</t>
  </si>
  <si>
    <t>จ่าสิบเอกจักรพันธ์  เนวลา</t>
  </si>
  <si>
    <t>นักจัดการงานทั่วไปชำนาญการ</t>
  </si>
  <si>
    <t>ตัวแทนลูกจ้างประจำ</t>
  </si>
  <si>
    <t>ตัวแทนวิชาชีพอื่น ๆ</t>
  </si>
  <si>
    <t>ตัวแทน พกส./ลจ</t>
  </si>
  <si>
    <t>ตัวแทน พกส.ตามวุฒิ</t>
  </si>
  <si>
    <t>14. ระบบ Lan ตึกอาคาร 3 ชั้น</t>
  </si>
  <si>
    <t>16. ปรับปรุงพื้นที่ตรวจ ARI</t>
  </si>
  <si>
    <t>-</t>
  </si>
  <si>
    <t>17.ปรับปรุงห้องฝังเข็มเป็นห้องฟอกเลือด</t>
  </si>
  <si>
    <t>18.โซลาเซลล์50กิโลวัตต์ 2ระบบ</t>
  </si>
  <si>
    <t>19.ต่อเติมห้องพิเศษ12ห้อง</t>
  </si>
  <si>
    <t>21.ตกแต่งภายในOPD3ชั้น</t>
  </si>
  <si>
    <t>22.ย้ายสำนักงานTB</t>
  </si>
  <si>
    <t>23.ขยายห้อง ER ไปห้องประชุมบุญเกษม</t>
  </si>
  <si>
    <t>24.ปรับปรุงภูมิทัศน์รอบOPD3ชั้น</t>
  </si>
  <si>
    <t>25.ปรับปรุงอาคารแพทย์แผนไทย</t>
  </si>
  <si>
    <t>26.ปรับปรุงโครงสร้างภายใน กายภาพ/LAB/ไต/COC/x-ray/VIP/ด่านหน้าVIP</t>
  </si>
  <si>
    <t>27.ปรับปรุงอาคารที่ไว้ศพ</t>
  </si>
  <si>
    <t xml:space="preserve">28.ป้ายด้านหน้าแถวป้อมยาม </t>
  </si>
  <si>
    <t>29.ปรับปรุงหลังคาป้อมยาม</t>
  </si>
  <si>
    <t>30.ที่กั้นเก็บเสียงงานชักฟอก</t>
  </si>
  <si>
    <t>31.ระบบท่อลมตึกอาคาร 3 ชั้น (ท่อ) 3จุด</t>
  </si>
  <si>
    <t>ward4/ห้องจ่ายยา/ห้องเจาะเลือด</t>
  </si>
  <si>
    <t>32.ระบบกล้องวงจรปิด ตึก3ชั้น ..จุด</t>
  </si>
  <si>
    <t>33.CoverWayเชื่อมตึก3ชั้น LR-ER</t>
  </si>
  <si>
    <t>34.ระบบCentralSupply+ส่งยาให้รพ.สต.รายโซน</t>
  </si>
  <si>
    <t xml:space="preserve">35.ปรับปรุงหลังคานั่งรอทันตกรรม </t>
  </si>
  <si>
    <t>36.ปรับปรุงหลังคาห้องประชุมประสานใจ</t>
  </si>
  <si>
    <t>1.ค่าโยกย้ายยูนิตทันตกรรม7ตัว</t>
  </si>
  <si>
    <t>2.โยกย้ายระบบฟอกอากาศ6เครื่อง</t>
  </si>
  <si>
    <t>3.ยูนิตทำฟัน 1 ตัว</t>
  </si>
  <si>
    <t>4.สนับสนุนรพ.สต. สสอ.</t>
  </si>
  <si>
    <t>5.เครื่องวัด DMI (กายภาพ)</t>
  </si>
  <si>
    <t>6.เครื่องพยุงในน้ำ (กายภาพ)</t>
  </si>
  <si>
    <t>7.รถเข็นไฟฟ้า 2 คัน</t>
  </si>
  <si>
    <t>8.ปรับปรุงระบบไฟฟ้า (จุดที่มีปัญหา)</t>
  </si>
  <si>
    <t>9.เครื่องล้างจานอัตโนมัติ</t>
  </si>
  <si>
    <t>10.เครื่องฟอกไตโควิด</t>
  </si>
  <si>
    <t>11.ครุภัณฑ์สำนักงานOPD3ชั้น</t>
  </si>
  <si>
    <t>12.ครุภัณฑ์คอมพิวเตอร์OPD3ชั้น</t>
  </si>
  <si>
    <t>13.ครุภัณฑ์เผยแพร่และโฆษณาOPD3ชั้น</t>
  </si>
  <si>
    <t>14.รถตู้สสอ.</t>
  </si>
  <si>
    <t>15.รถกระบะ4ประตูยกสูง</t>
  </si>
  <si>
    <t>รายละเอียด</t>
  </si>
  <si>
    <t>15. ระบบส่ง Lab ตึกอาคาร 3 ชั้น (ท่อ) 5จุด</t>
  </si>
  <si>
    <t>ก่อสร้าง</t>
  </si>
  <si>
    <t>ตัวแทนข้าราชการ</t>
  </si>
  <si>
    <t>แผนเงินบำรุง</t>
  </si>
  <si>
    <t>รับสมัครและมีการเลือกตั้ง</t>
  </si>
  <si>
    <t xml:space="preserve">ชมรมลูกจ้างส่งตัวแทน </t>
  </si>
  <si>
    <t>ชมรมพกส. ส่งตัวแทน</t>
  </si>
  <si>
    <t>ดำเนินการก่อนสิ้นตุลาคม 65</t>
  </si>
  <si>
    <t>มติที่ประชุม</t>
  </si>
  <si>
    <t>หัวหน้าคำภีร์  เสนอให้การแต่งตั้งหัวหน้าเจ้าหน้าที่พัสดุ  เจ้าหน้าที่พัสดุ  หัวหน้าหน่วยคลังพัสดุ</t>
  </si>
  <si>
    <t xml:space="preserve">    มอบหมายให้หัวหน้าจักรพันธ์    เป็นเจ้าภาพนัดประชุม</t>
  </si>
  <si>
    <t>เจ้าพนักงานธุรการชำนาญงาน</t>
  </si>
  <si>
    <t xml:space="preserve">20.ปรับปรุงห้องพิเศษ24เตียง </t>
  </si>
  <si>
    <t>(ค่าเสื่อม 3,000,000  ส่วนต่างเป็นเงินบำรุง 1,950,000)</t>
  </si>
  <si>
    <t xml:space="preserve"> 9. รถพยาบาลขั้นพื้นฐาน </t>
  </si>
  <si>
    <t>10. เครื่องกระตุกไฟฟ้าหัวใจชนิดไบเฟสิค พร้อมภาควัดออกซิเจนในเลือด</t>
  </si>
  <si>
    <t>11. ตู้ปลอดเชื้อ Class II ไม่น้อยกว่า 4 ฟุต</t>
  </si>
  <si>
    <t>12. เครื่องดึงคอและหลังอัตโนมัติพร้อมเตียงปรับระดับได้</t>
  </si>
  <si>
    <t>มาจากงบค่าเสื่อม 20%</t>
  </si>
  <si>
    <t>13. ครุภัณฑ์แผนประจำปี 2566</t>
  </si>
  <si>
    <t>ค่าใช้จ่ายสิ้นเปลือง</t>
  </si>
  <si>
    <t>รับระหว่างปีงบ 2566</t>
  </si>
  <si>
    <t>เงินยกมาปี 65</t>
  </si>
  <si>
    <t>จ่ายระหว่างปี 2566</t>
  </si>
  <si>
    <t>สิ่งที่ส่งมาด้วย</t>
  </si>
  <si>
    <t>กระทรวงสาธารณสุข</t>
  </si>
  <si>
    <t>สำนักงานปลัดกระทรวงสาธารณสุข</t>
  </si>
  <si>
    <t>ชื่อหน่วยบริการ   โรงพยาบาลม่วงสามสิบ……อุบลราชธานี………</t>
  </si>
  <si>
    <t>ประเภทเงิน บำรุง</t>
  </si>
  <si>
    <t>รายการรับ - จ่ายเงินและเงินคงเหลือ</t>
  </si>
  <si>
    <t>ประจำปีงบประมาณ พ.ศ.2564 และ พ.ศ. 2565</t>
  </si>
  <si>
    <t>2564</t>
  </si>
  <si>
    <t>2565</t>
  </si>
  <si>
    <t>เพิ่ม/ลดร้อยละ</t>
  </si>
  <si>
    <t>เพิ่มขึ้นลดลงจากปีก่อน</t>
  </si>
  <si>
    <t>ผลต่าง</t>
  </si>
  <si>
    <t>รายรับ</t>
  </si>
  <si>
    <t xml:space="preserve">     รายรับจากงบประมาณ</t>
  </si>
  <si>
    <t xml:space="preserve">     รายรับจากการดำเนินงาน</t>
  </si>
  <si>
    <t xml:space="preserve">     รายรับดอกเบี้ยเงินฝาก</t>
  </si>
  <si>
    <t xml:space="preserve">     รายรับอื่นๆ</t>
  </si>
  <si>
    <t xml:space="preserve">     รวมรายรับ</t>
  </si>
  <si>
    <t>รายจ่าย</t>
  </si>
  <si>
    <t xml:space="preserve">     รายจ่ายบุคลากร</t>
  </si>
  <si>
    <t xml:space="preserve">     รายจ่ายจากการดำเนินงาน</t>
  </si>
  <si>
    <t xml:space="preserve">     ค่าครุภัณฑ์</t>
  </si>
  <si>
    <t xml:space="preserve">     ค่าที่ดินและสิ่งก่อสร้าง</t>
  </si>
  <si>
    <t xml:space="preserve">     รายจ่ายอื่นๆ</t>
  </si>
  <si>
    <t xml:space="preserve">     รวมรายจ่าย</t>
  </si>
  <si>
    <t>รายรับสูง(ต่ำ)กว่ารายจ่ายสุทธิ</t>
  </si>
  <si>
    <t xml:space="preserve">หัก  นำส่งรายได้แผ่นดิน </t>
  </si>
  <si>
    <t>รายรับสูง(ต่ำ)กว่ารายจ่ายสุทธิหลังหักรายได้แผ่นดิน</t>
  </si>
  <si>
    <r>
      <rPr>
        <b/>
        <sz val="16"/>
        <rFont val="AngsanaUPC"/>
        <family val="1"/>
      </rPr>
      <t>บวก</t>
    </r>
    <r>
      <rPr>
        <sz val="16"/>
        <rFont val="AngsanaUPC"/>
        <family val="1"/>
      </rPr>
      <t xml:space="preserve">   เงินคงเหลือสะสมยกมา</t>
    </r>
  </si>
  <si>
    <t>เงินคงเหลือทั้งสิ้น</t>
  </si>
  <si>
    <r>
      <rPr>
        <b/>
        <sz val="16"/>
        <rFont val="AngsanaUPC"/>
        <family val="1"/>
      </rPr>
      <t xml:space="preserve">หัก </t>
    </r>
    <r>
      <rPr>
        <sz val="16"/>
        <rFont val="AngsanaUPC"/>
        <family val="1"/>
      </rPr>
      <t xml:space="preserve">  ภาระผูกพัน </t>
    </r>
  </si>
  <si>
    <t>คงเหลือหลังหักภาระผูกพัน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</si>
  <si>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</si>
  <si>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</si>
  <si>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</si>
  <si>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เงินฝากธนาคารประเภทฝากประจำ</t>
  </si>
  <si>
    <t xml:space="preserve">                    .- 3 เดือน</t>
  </si>
  <si>
    <t xml:space="preserve">                    .- 6 เดือน</t>
  </si>
  <si>
    <t xml:space="preserve">                    .- 9 เดือน</t>
  </si>
  <si>
    <t xml:space="preserve">                    .- 12 เดือน</t>
  </si>
  <si>
    <t xml:space="preserve">                    .- 24 เดือน</t>
  </si>
  <si>
    <t>เงินฝากธนาคารประเภทออมทรัพย์</t>
  </si>
  <si>
    <t>เงินฝากธนาคารประเภทกระแสรายวัน</t>
  </si>
  <si>
    <t>รวมเงินฝากธนาคาร</t>
  </si>
  <si>
    <t>รวมเงินคงเหลือทั้งสิ้น</t>
  </si>
  <si>
    <t>เงินบำรุงทั้งหมด</t>
  </si>
  <si>
    <t>หมวดจ่ายค่าจ้าง ค่าตอบแทน</t>
  </si>
  <si>
    <t>ค่าจ้าง พกส</t>
  </si>
  <si>
    <t>ค่าจ้าง ลูกจ้างรายเดือน</t>
  </si>
  <si>
    <t>ค่าจ้าง ลูกจัางรายวัน</t>
  </si>
  <si>
    <t>ค่าไม่เปิดเวชปฏิบัติ (แพทย์ ทันตะ เภสัช)</t>
  </si>
  <si>
    <t>ค่า พตส (กรณีไม่ได้เบิกงบประมาณ)</t>
  </si>
  <si>
    <t>ค่าเบี้ยเลี้ยงเหมาจ่าย ฉ 11</t>
  </si>
  <si>
    <t>ค่ายา</t>
  </si>
  <si>
    <t>ค่าเวชภัณฑ์มิใช่ยา</t>
  </si>
  <si>
    <t>ค่าวิทยาศาสตร์การแพทย์</t>
  </si>
  <si>
    <t>ค่าวัสดุทันตกรรม</t>
  </si>
  <si>
    <t>ค่าสิ่งส่งตรวจ Lab</t>
  </si>
  <si>
    <t>ค่าฟอกเลือด (อุบลรีนอลแคร์)</t>
  </si>
  <si>
    <t>ค่าครุภัณฑ์</t>
  </si>
  <si>
    <t>ค่าวัสดุอื่นๆ</t>
  </si>
  <si>
    <t>ค่าซ่อมแซมอื่นๆ</t>
  </si>
  <si>
    <t>ค่าอาหารผู้ป่วย</t>
  </si>
  <si>
    <t>ค่าน้ำมันเชื้อเพลิง</t>
  </si>
  <si>
    <t>ค่าเทอมนักเรียนทุน</t>
  </si>
  <si>
    <t>ค่าขนขยะ</t>
  </si>
  <si>
    <t>อื่น ๆ</t>
  </si>
  <si>
    <t>5. เงินรับโอนผลงานเก่า ปี 65</t>
  </si>
  <si>
    <t>ค่าครุภัณฑ์/วัสดุ/สิ่งก่อสร้าง (งบลงทุน)</t>
  </si>
  <si>
    <t>รายได้ลักษณะอื่น ๆ</t>
  </si>
  <si>
    <t>เงินรับฝากมีวัตถุประสงค์</t>
  </si>
  <si>
    <t>เงินบริจาค</t>
  </si>
  <si>
    <t>ค่าประกันสังคมส่วนของนายจ้าง+ลจ.</t>
  </si>
  <si>
    <t>หมวดวัสดุ/ครุภัณฑ์/สาธารณูปโภค/สิ่งปลูกสร้าง</t>
  </si>
  <si>
    <t>ค่าก่อสร้าง/ต่อเติม/ปรับปรุง</t>
  </si>
  <si>
    <t>สถานการณ์</t>
  </si>
  <si>
    <t>จำนวนเงิน</t>
  </si>
  <si>
    <t>ประจำปีงบ 65</t>
  </si>
  <si>
    <t>ประจำปีงบ 66</t>
  </si>
  <si>
    <t>แผนการดำเนินงานด้านโครงสร้างงบประมาณเงินบำรุง ประจำปีงบประมาณ 2566</t>
  </si>
  <si>
    <t>โรงพยาบาลม่วงสามสิบ</t>
  </si>
  <si>
    <t>งบประมาณปี</t>
  </si>
  <si>
    <t>หน่วยงาน</t>
  </si>
  <si>
    <t>เหตุผลประกอบ</t>
  </si>
  <si>
    <t>แผนพัฒนาปี 2565 ได้รับอนุมัติ</t>
  </si>
  <si>
    <t xml:space="preserve">ได้รับอนุมัติปี2565 </t>
  </si>
  <si>
    <t>สถานะ</t>
  </si>
  <si>
    <t>ก่อสร้างอาคารพักพยาบาล 10 ห้อง 2 ชั้น</t>
  </si>
  <si>
    <t>ที่อยู่อาศัย</t>
  </si>
  <si>
    <t>ขยายบริการผู้ป่วยใน รองรับผู้มารับบริการที่เพิ่มมากขึ้น</t>
  </si>
  <si>
    <t>ปรับปรุงหลังคาอาคาร ward4</t>
  </si>
  <si>
    <t>งานผู้ป่วยใน</t>
  </si>
  <si>
    <t>สร้างความปลอดภัยสำหรับผู้มารับบริการและเจ้าหน้าที่ผู้ปฏิบัติงาน</t>
  </si>
  <si>
    <t>ปรับปรุงระบบให้สุขศึกษาในรพ.</t>
  </si>
  <si>
    <t>กลุ่มงานเวชฯ</t>
  </si>
  <si>
    <t>สร้างระบบสื่อสาร ประชาสัมพันธ์ ความรู้ระหว่างการมารับบริการ</t>
  </si>
  <si>
    <t>ปรับหลังคาและภายในอาคารคลังยา</t>
  </si>
  <si>
    <t>กลุ่มงานเภสัชกรรม</t>
  </si>
  <si>
    <t>ปรับปรุงอาคารเก็บวัสดุผู้ป่วยใน</t>
  </si>
  <si>
    <t xml:space="preserve">รองรับอุปกรณ์สำนักงาน การแพทย์ที่ชำรุด </t>
  </si>
  <si>
    <t>ปรับปรุงระบบ Smart  hospital (คิว)</t>
  </si>
  <si>
    <t>กลุ่มงานยุทธศาสตร์</t>
  </si>
  <si>
    <t xml:space="preserve">จัดระบบการมารับบริการ ลดระยะเวลารอคอย </t>
  </si>
  <si>
    <t>ระบบ Lan ตึกอาคาร 3 ชั้น</t>
  </si>
  <si>
    <t>รองรับปริมาณการใช้งานในการเชื่อมข้อมูลในจุดต่างๆ</t>
  </si>
  <si>
    <t>ระบบส่ง Lab ตึกอาคาร 3 ชั้น (ท่อ) 5จุด</t>
  </si>
  <si>
    <t>กลุ่มงานเทคนิคการแพทย์</t>
  </si>
  <si>
    <t xml:space="preserve">เพิ่มประสิทธิภาพในการขนส่ง ลดระยะเวลารอคอย </t>
  </si>
  <si>
    <t>ปรับปรุงพื้นที่ตรวจ ARI</t>
  </si>
  <si>
    <t>งานผู้ป่วยนอก</t>
  </si>
  <si>
    <t>ขยายบริการ รองรับผู้มารับบริการที่เพิ่มมากขึ้น</t>
  </si>
  <si>
    <t>โซลาเซลล์50กิโลวัตต์ 2ระบบ</t>
  </si>
  <si>
    <t>กลุ่มงานบริหาร</t>
  </si>
  <si>
    <t>รองรับปริมาณการใช้ไฟฟ้าที่เพิ่มมากขึ้น และลดต้นทุนค่าไฟฟ้าปกติ</t>
  </si>
  <si>
    <t>ต่อเติมห้องพิเศษ12ห้อง</t>
  </si>
  <si>
    <t>ย้ายสำนักงานTB</t>
  </si>
  <si>
    <t>ระบบCentralSupply+ส่งยาให้รพ.สต.รายโซน</t>
  </si>
  <si>
    <t>นวัตกรรมzero stockยา ในรพ.สต. ควบคุมการใช้ยา และหมดอายุ</t>
  </si>
  <si>
    <t>รวมเป็นเงินปี65</t>
  </si>
  <si>
    <t>แผนพัฒนาปี 2566</t>
  </si>
  <si>
    <t>แผน ปี2566</t>
  </si>
  <si>
    <t>โครงการเปิดให้บริการผู้ป่วยนอก 3 ชั้น ในเดือนมีนาคม-เมษายน 2566</t>
  </si>
  <si>
    <t>ตกแต่งภายในOPD3ชั้น</t>
  </si>
  <si>
    <t xml:space="preserve">เปิดให้บริการผู้ป่วยนอก 3 ชั้น </t>
  </si>
  <si>
    <t>ปรับปรุงภูมิทัศน์รอบOPD3ชั้น</t>
  </si>
  <si>
    <t>ระบบท่อลมตึกอาคาร 3 ชั้น (ท่อ) 3จุด</t>
  </si>
  <si>
    <t>ระบบกล้องวงจรปิด ตึก3ชั้น ..จุด</t>
  </si>
  <si>
    <t>CoverWayเชื่อมตึก3ชั้น LR-ER</t>
  </si>
  <si>
    <t>ครุภัณฑ์สำนักงานOPD3ชั้น</t>
  </si>
  <si>
    <t>ครุภัณฑ์คอมพิวเตอร์OPD3ชั้น</t>
  </si>
  <si>
    <t>ครุภัณฑ์เผยแพร่และโฆษณาOPD3ชั้น</t>
  </si>
  <si>
    <t>ปรับปรุงห้องพิเศษ24เตียง  (งบค่าเสื่อม20% เพิ่มเติมเงินบำรุง)</t>
  </si>
  <si>
    <t>วงเงิน49500000 งบUC3ล้าน สมทบ1.9ล้าน</t>
  </si>
  <si>
    <t xml:space="preserve">โครงการลดรายจ่าย ใช้พลังงานสะอาด โซลาเซลล์ไม่ต่ำกว่า 190 กิโลวัตต์ </t>
  </si>
  <si>
    <t>ขยายห้อง ER ไปห้องประชุมบุญเกษม</t>
  </si>
  <si>
    <t>งานอุบัติเหตุฉุกเฉิน</t>
  </si>
  <si>
    <t>ปรับปรุงอาคารแพทย์แผนไทย</t>
  </si>
  <si>
    <t>งานแพทย์แผนไทย</t>
  </si>
  <si>
    <t>ปรับปรุงโครงสร้างภายใน กายภาพ/LAB/ไต/COC/x-ray/VIP/ด่านหน้าVIP</t>
  </si>
  <si>
    <t xml:space="preserve">ปรับปรุงป้อมยาม </t>
  </si>
  <si>
    <t>ที่กั้นเก็บเสียงงานชักฟอก</t>
  </si>
  <si>
    <t>งานจ่ายกลาง</t>
  </si>
  <si>
    <t>ลดความเสี่ยงสำหรับเจ้าหน้าที่ผู้ปฏิบัติงาน</t>
  </si>
  <si>
    <t xml:space="preserve">ปรับปรุงหลังคานั่งรอทันตกรรม </t>
  </si>
  <si>
    <t>กลุ่มงานทันตกรรม</t>
  </si>
  <si>
    <t>ปรับปรุงหลังคาห้องประชุมประสานใจ</t>
  </si>
  <si>
    <t>ปรับปรุงระบบไฟฟ้า (จุดที่มีปัญหา)</t>
  </si>
  <si>
    <t>รองรับปริมาณการใช้ไฟฟ้าที่เพิ่มมากขึ้น</t>
  </si>
  <si>
    <t>ปรับปรุงโรงขยะติดเชื้อ</t>
  </si>
  <si>
    <t>ปรับปรุงโรงพักขยะติดเชื้อให้มีมาตรฐาน รองรับปริมาณขยะติดเชื้อที่เพิ่มมากขึ้น</t>
  </si>
  <si>
    <t>ปรับปรุงบ้านพัก</t>
  </si>
  <si>
    <t>สร้างความปลอดภัยสำหรับบุคลากรผู้พักอาศัย</t>
  </si>
  <si>
    <t>ปรับปรุงลานถนนบ้านพักหน้าแฟลต 2 ชั้น</t>
  </si>
  <si>
    <t>จัดระเบียบการจราจรในโรงพยาบาล</t>
  </si>
  <si>
    <t>ครุภัณฑ์แผนประจำปี 2566</t>
  </si>
  <si>
    <t>ทุกหน่วยงาน</t>
  </si>
  <si>
    <t>รองรับวัสดุอุปกรณ์สำนักงาน-การแพทย์ที่ชำรุด ทดแทน หรือขยายงาน</t>
  </si>
  <si>
    <t>รวมเป็นเงินปี66</t>
  </si>
  <si>
    <t>รวมงบปี65 และปี66 เป็นเงิน</t>
  </si>
  <si>
    <t xml:space="preserve"> โรงพยาบาลม่วงสามสิบ</t>
  </si>
  <si>
    <t>แผนรับ - จ่ายเงินบำรุง 3 ปี (ปีงบประมาณ 2566-2568)</t>
  </si>
  <si>
    <t xml:space="preserve">                                                         ประจำปีงบประมาณ พ.ศ. 2563 และ พ.ศ. 2562</t>
  </si>
  <si>
    <t>ประจำปีงบประมาณ พ.ศ. 2566</t>
  </si>
  <si>
    <t>หน่วย : บาท</t>
  </si>
  <si>
    <t>ข้อมูลย้อนหลัง 3 ปีงบประมาณ</t>
  </si>
  <si>
    <t>แผนปี 2566</t>
  </si>
  <si>
    <t>ผลการดำเนินงาน ต.ค.65</t>
  </si>
  <si>
    <t>ผลการดำเนินงาน พ.ย.65</t>
  </si>
  <si>
    <t>ผลการดำเนินงาน ธ.ค.65</t>
  </si>
  <si>
    <t>ผลการดำเนินงาน ก.พ.66</t>
  </si>
  <si>
    <t>ผลการดำเนินงาน มี.ค.66</t>
  </si>
  <si>
    <t>ผลการดำเนินงาน เม.ย.66</t>
  </si>
  <si>
    <t>ผลการดำเนินงาน พ.ค.66</t>
  </si>
  <si>
    <t>ผลการดำเนินงาน มิ.ย.66</t>
  </si>
  <si>
    <t>ผลการดำเนินงาน ก.ค.66</t>
  </si>
  <si>
    <t>ผลการดำเนินงาน ส.ค.66</t>
  </si>
  <si>
    <t>ผลการดำเนินงาน ก.ย.66</t>
  </si>
  <si>
    <t>รวมผลการดำเนินงาน%</t>
  </si>
  <si>
    <t>แผนปี 2567</t>
  </si>
  <si>
    <t>แผนปี 2568</t>
  </si>
  <si>
    <t>2563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</si>
  <si>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</si>
  <si>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</si>
  <si>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</si>
  <si>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</si>
  <si>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</si>
  <si>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</si>
  <si>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</si>
  <si>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</si>
  <si>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</si>
  <si>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</si>
  <si>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</si>
  <si>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</si>
  <si>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</si>
  <si>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</si>
  <si>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</si>
  <si>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</si>
  <si>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</si>
  <si>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</si>
  <si>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</si>
  <si>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</si>
  <si>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</si>
  <si>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</si>
  <si>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 xml:space="preserve">ค่าล่วงเวลางานบริการ / งานสนับสนุน 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</si>
  <si>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</si>
  <si>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</si>
  <si>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</si>
  <si>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</si>
  <si>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</si>
  <si>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ค่าตอบแทนเจ้าหน้าที่ปฏิบัติงานของเจ้าหน้าที่ (นอกเวลา) ฉ5</t>
  </si>
  <si>
    <t>ค่าตอบแทนเจ้าหน้าที่ปฏิบัติงานในคลินิกพิเศษเฉพาะทางนอกเวลาราชการ (SMC)</t>
  </si>
  <si>
    <t xml:space="preserve">ค่าตอบแทนอื่น 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</si>
  <si>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</si>
  <si>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</si>
  <si>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</si>
  <si>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</si>
  <si>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</si>
  <si>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</si>
  <si>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</si>
  <si>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</si>
  <si>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</si>
  <si>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</si>
  <si>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</si>
  <si>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</si>
  <si>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</si>
  <si>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ค่าครุภัณฑ์+ครุภัณฑ์</t>
  </si>
  <si>
    <t>ค่าครุภัณฑ์+ครุภัณฑ์งบค่าเสื่อม</t>
  </si>
  <si>
    <t>ค่าครุภัณฑ์+ครุภัณฑ์เงินบริจาค</t>
  </si>
  <si>
    <t>ค่าที่ดินและสิ่งก่อสร้าง</t>
  </si>
  <si>
    <t>ค่าที่ดินและสิ่งก่อสร้างงบค่าเสื่อม</t>
  </si>
  <si>
    <t>ค่าที่ดินและสิ่งก่อสร้างเงินบริจาค</t>
  </si>
  <si>
    <t>ค่าที่ดินและสิ่งก่อสร้างเงินบำรุง</t>
  </si>
  <si>
    <t xml:space="preserve">รายจ่ายอื่น ๆ 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</si>
  <si>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</si>
  <si>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</si>
  <si>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</si>
  <si>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</si>
  <si>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</si>
  <si>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เงินรับโอนจาก สปสช. ประจำปีงบประมาณ 66 (UC)</t>
  </si>
  <si>
    <t>กองทุน Central reimburse</t>
  </si>
  <si>
    <t>จ่ายแล้วประจำปี 2566</t>
  </si>
  <si>
    <t>งวด 4-5 (2,340,000)</t>
  </si>
  <si>
    <t xml:space="preserve"> ปรับปรุงพื้นที่ตรวจ ARI</t>
  </si>
  <si>
    <t xml:space="preserve"> ย้ายสำนักงานTB</t>
  </si>
  <si>
    <t xml:space="preserve"> ระบบCentralSupply+ส่งยาให้รพ.สต.รายโซน</t>
  </si>
  <si>
    <t xml:space="preserve"> ก่อสร้างถนนหน้าแฟลตใหม่</t>
  </si>
  <si>
    <t>ประมาณการเหลือเงิน ณ ปัจจุบัน</t>
  </si>
  <si>
    <t>วัสดุทันตกรรม</t>
  </si>
  <si>
    <t>รวม</t>
  </si>
  <si>
    <t xml:space="preserve"> ก่อสร้างอาคารพักพยาบาล 10 ห้อง 2 ชั้น</t>
  </si>
  <si>
    <t xml:space="preserve"> ปรับปรุงหลังคาอาคาร ward4</t>
  </si>
  <si>
    <t xml:space="preserve"> ปรับปรุงระบบให้สุขศึกษาในรพ.</t>
  </si>
  <si>
    <t xml:space="preserve"> ปรับปรุงอาคารเก็บวัสดุผู้ป่วยใน</t>
  </si>
  <si>
    <t xml:space="preserve"> ต่อเติมห้องพิเศษ12ห้อง</t>
  </si>
  <si>
    <t>จ่ายครั้งที่ 1</t>
  </si>
  <si>
    <t>(เหลือเทพื้นด้านหลัง)</t>
  </si>
  <si>
    <t xml:space="preserve">       6. กั้นไว้สำหรับโครงการ PP</t>
  </si>
  <si>
    <t xml:space="preserve">       7. กั้นไว้สำหรับโครงการ เงินบำรุง</t>
  </si>
  <si>
    <t xml:space="preserve"> </t>
  </si>
  <si>
    <t>การพิจารณาเงินโควิดให้ลูกข่าย</t>
  </si>
  <si>
    <t xml:space="preserve">  อนุมัติให้ 25 ล้าน รวมกับปรับปรุง รพ.สต.</t>
  </si>
  <si>
    <t>ให้โดยมีเงื่อนไข</t>
  </si>
  <si>
    <t>แบ่งโอน 3 ไตรมาส</t>
  </si>
  <si>
    <t xml:space="preserve">  สสอ.คุยกับลูกข่ายว่า จะกั้นไว้ที่ สสอ.เท่าไร  ให้รพ.สต เท่าไร</t>
  </si>
  <si>
    <t>ไตรมาส 2   10  ล้าน</t>
  </si>
  <si>
    <t>ไตรมาส 3  8  ล้าน</t>
  </si>
  <si>
    <t>ไตรมาส 4  7 ล้าน</t>
  </si>
  <si>
    <t xml:space="preserve">    </t>
  </si>
  <si>
    <t>เงินอื่น ๆ</t>
  </si>
  <si>
    <t>เบิกจ่ายตรง อปท. IP/OP</t>
  </si>
  <si>
    <t>ค่าสื่อสาร/ไปรษณีย์/โทรศัพท์</t>
  </si>
  <si>
    <t>ค่าใช้จ่ายเดินทางไปราชการ</t>
  </si>
  <si>
    <t xml:space="preserve">กั้นเงินไว้สำรองจ่าย </t>
  </si>
  <si>
    <t>เบิกต้นสังกัด  OP/IP</t>
  </si>
  <si>
    <t>ค่าเช่าเครื่อง X-ray/เครื่องอื่น ๆ</t>
  </si>
  <si>
    <t>โอนเงินให้ลูกข่าย รพ.สต ฉ.11</t>
  </si>
  <si>
    <t>ค่าจ้างเหมาอื่น ๆ</t>
  </si>
  <si>
    <t>กั้นอลูมิเนียม</t>
  </si>
  <si>
    <t>สำนักงานสาธารณสุขจังหวัดอุบลราชธานี</t>
  </si>
  <si>
    <t>หักเงินกองทุนรอการจัดสรร(4)</t>
  </si>
  <si>
    <t>หักภาระผูกพัน(5)</t>
  </si>
  <si>
    <t>เงินคงเหลือหลังหักตามข้อ (4)และข้อ(5)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</si>
  <si>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</si>
  <si>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</si>
  <si>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</si>
  <si>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</si>
  <si>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</si>
  <si>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สวนหย่อม / ดิน /ปรับปรุงศาลา</t>
  </si>
  <si>
    <t>ครุภัณฑ์สำนักงาน/ครุภัณฑ์คอม/ระบบ/กั้นทันตะ  ????</t>
  </si>
  <si>
    <t>เหลือเงิน 2,300,000</t>
  </si>
  <si>
    <t>ห้องน้ำประสานเดิม (ห้องกายภาพ) ปรับปรุง</t>
  </si>
  <si>
    <t>เสา สายไฟ</t>
  </si>
  <si>
    <t>เครื่องสำรองไฟฟ้า ตึกใหม่</t>
  </si>
  <si>
    <t>ระบบไฟฟ้า</t>
  </si>
  <si>
    <t>โรงเก็บศพ</t>
  </si>
  <si>
    <t>คงเหลือ (ยังไม่จ่าย)</t>
  </si>
  <si>
    <t>สสจ.อนุมัติ</t>
  </si>
  <si>
    <t>รวมเป็นเงินทั้งสิ้น (ปี 65+ปี66)</t>
  </si>
  <si>
    <t>รวมเป็นเงินปิ 65</t>
  </si>
  <si>
    <t>งานการเงินจ่าย</t>
  </si>
  <si>
    <t>งานพัสดุ (จัดชื้อจัดจ้าง)</t>
  </si>
  <si>
    <t>บริษัท ฟิวส์สำรวจ จำกัด   (ราคาทั้งหมด 2,340,000)</t>
  </si>
  <si>
    <t>ตู้คีย์ออด 3 เครื่อง (80,000+78,500+78,500)</t>
  </si>
  <si>
    <t>เครื่องวัดความดัน 2 เครื่อง</t>
  </si>
  <si>
    <t>(เงินบริจาค 585,000    เงินบำรุง 1,755,000</t>
  </si>
  <si>
    <t>รถ+ตู้+อุปกรณ์</t>
  </si>
  <si>
    <t>กั้นห้องตรวจ</t>
  </si>
  <si>
    <t>ราวกั้นสแตนเลส</t>
  </si>
  <si>
    <t>รถขนขยะ  1 คัน</t>
  </si>
  <si>
    <t>เหลือ 1 งวด</t>
  </si>
  <si>
    <t>จ่ายไป 2 งวด</t>
  </si>
  <si>
    <t>เครื่องวัดส่วนสูง 2 เครื่อง</t>
  </si>
  <si>
    <t>เครื่องชั่งน้ำหนัก 2 เครื่อง</t>
  </si>
  <si>
    <t>เครื่องวัดความดัน 4 เครื่อง</t>
  </si>
  <si>
    <t>รถไฟฟ้า 2 คัน</t>
  </si>
  <si>
    <t>ปรับปรุงหลังคาและภายในอาคารคลังยา</t>
  </si>
  <si>
    <t xml:space="preserve">ค่าเคลื่อนย้าย </t>
  </si>
  <si>
    <t>ส่วนต่าง</t>
  </si>
  <si>
    <t>เพิ่มเติม (เทพื้นรอบอาคาร/ไม้ระแหนง/น้ำปะปา/เหล็กดัด)</t>
  </si>
  <si>
    <t>ผ้าม่าน</t>
  </si>
  <si>
    <t>กั้นห้องประชุม (บริหาร)</t>
  </si>
  <si>
    <t>กั้นห้องทันตกรรม 9 ห้อง</t>
  </si>
  <si>
    <t>กั้นห้องไต และเปลี่ยนประตู</t>
  </si>
  <si>
    <t>ถมพื้นที่นอกรอบ</t>
  </si>
  <si>
    <t>เทพื้นทางขึ้นภายนอก</t>
  </si>
  <si>
    <t>ตกแต่งห้องเวชระเบียน</t>
  </si>
  <si>
    <t>เพิ่มปลั๊กไฟห้องทันตะ ชั้น 1-2</t>
  </si>
  <si>
    <t>ราวกั้นตกสแตนเลส ห้องไต+ราวสแตนเลสทางขึ้นตึก</t>
  </si>
  <si>
    <t>ชื้อต้นไม้ประดับ</t>
  </si>
  <si>
    <t>ระบบโทรศัพท์ 50 จุด (ภายใน)</t>
  </si>
  <si>
    <t>ปรับปรุงห้องพิเศษ 9 ห้อง 24 เตียง  (งบค่าเสื่อม20% เพิ่มเติมเงินบำรุง)</t>
  </si>
  <si>
    <t>ย้ายยูนิตทันตะ</t>
  </si>
  <si>
    <t>ทำระบบอากาศดีทันตกรรม</t>
  </si>
  <si>
    <t>เตียงตรวจโรค</t>
  </si>
  <si>
    <t>ระบบบำบัด</t>
  </si>
  <si>
    <t>รถตู้</t>
  </si>
  <si>
    <t>ปรับปรุงห้องกายภาพบำบัด (ห้องประชุมประสานใจเดิม)</t>
  </si>
  <si>
    <t>รถตู้ สสอ.</t>
  </si>
  <si>
    <t>เครื่องคอมพิวเตอร์+เครื่องบริ้นเตอร์</t>
  </si>
  <si>
    <t>กั้นห้องหัวหน้ากลุ่มการพยาบาล</t>
  </si>
  <si>
    <t>นอกแผน</t>
  </si>
  <si>
    <t xml:space="preserve">       6. โครงการเสริมสร้างและพัฒนาค่านิยมองค์กร  (องค์การเภสัช)</t>
  </si>
  <si>
    <t>กั้นไว้</t>
  </si>
  <si>
    <t>ค่าตู้เย็น 3 เครื่อง</t>
  </si>
  <si>
    <t>วัสดุอื่น</t>
  </si>
  <si>
    <t xml:space="preserve">       5.  เงินค่าเยี่ยวยาโควิด (31 ราย)</t>
  </si>
  <si>
    <t>โอนโครงการ งบ PP (ให้ รพ.สต)</t>
  </si>
  <si>
    <t>โอนโครงการ งบ PP (ให้ สสอ.)</t>
  </si>
  <si>
    <t>โอนเงินให้ลูกข่าย รพ.สต. (fixcost)</t>
  </si>
  <si>
    <t>โอนเงินให้ลูกข่าย สสอ. (งบดำเนินงาน)</t>
  </si>
  <si>
    <t>โอนเงินบำรุงเป็นค่าใช้จ่ายให้ รพ.สต.</t>
  </si>
  <si>
    <t>โอนเงินบำรุงเป็นค่าใช้จ่ายให้ สสอ.</t>
  </si>
  <si>
    <t>นำเงินค้ำประกันสัญญา/เงินฝากคลังส่ง สสจ.</t>
  </si>
  <si>
    <t>ยกไปปี 67</t>
  </si>
  <si>
    <t xml:space="preserve">       8. กั้นไว้สำหรับโครงการพัฒนาบุคลากร</t>
  </si>
  <si>
    <t>วงเงินเสนอจริง</t>
  </si>
  <si>
    <t>บริษัท</t>
  </si>
  <si>
    <t>วันที่จัดจ้าง</t>
  </si>
  <si>
    <t>ฟิลว์สำรวจ</t>
  </si>
  <si>
    <t>ธค.65</t>
  </si>
  <si>
    <t>จงเจริญคอนกรีต</t>
  </si>
  <si>
    <t>7 กย.65-6 มค.66</t>
  </si>
  <si>
    <t>บริษัท รีโก้</t>
  </si>
  <si>
    <t>กำลังเขียนแบบ</t>
  </si>
  <si>
    <t>น.ส.นิตยา  สารักษ์</t>
  </si>
  <si>
    <t>3 ตค.65-3 ธค.65</t>
  </si>
  <si>
    <t>ยังไม่แล้วเสร็จ</t>
  </si>
  <si>
    <t>บ.ไทจีแอล</t>
  </si>
  <si>
    <t>เมืองเขื่อง</t>
  </si>
  <si>
    <t>เหลือ ปรับพื้นที่ X-ray</t>
  </si>
  <si>
    <t>ได้ผู้รับเหมา</t>
  </si>
  <si>
    <t>ณิปุณ ก่อสร้าง</t>
  </si>
  <si>
    <t>10 พย.65</t>
  </si>
  <si>
    <t>มิตซูไทยยนต์</t>
  </si>
  <si>
    <t>ต่อหลังคา390000</t>
  </si>
  <si>
    <t>ขยายบริการ รองรับผู้มารับบริการที่เพิ่มมากขึ้น วงเงิน49500000 งบUC3ล้าน สมทบ1.9ล้าน</t>
  </si>
  <si>
    <t>ปรับปรุงโครงสร้างภายใน กายภาพ/LAB/ไต/COC/x-ray/VIP/ด่านหน้าVIP/กลุ่มการ/เวช</t>
  </si>
  <si>
    <t>ปรับปรุงหลังคานั่งรอทันตกรรมเดิม</t>
  </si>
  <si>
    <t>ปรับปรุงหลังคาเชื่อมห้องประชุมประสานใจเดิม เส้น Coverway</t>
  </si>
  <si>
    <t>ปรับปรุงบ้านพัก  **เปลี่ยนหลังคา</t>
  </si>
  <si>
    <t>เพิ่ม ประชุม17กค.66</t>
  </si>
  <si>
    <t>เงินผลต่างปี65 **1,760,900**</t>
  </si>
  <si>
    <t>รางเดิน กายภาพ</t>
  </si>
  <si>
    <t>อัลตร้าซาวน์เคลื่อนที่ 3 เครื่อง</t>
  </si>
  <si>
    <t>โรงรถ+ลานแฟลตนศ.</t>
  </si>
  <si>
    <t>โรงรถหน้าแฟลต3ชั้นเดิมหน้าสระ</t>
  </si>
  <si>
    <t>เครื่องสำรองไฟอาคาร 3 ชั้น และอาคารเครื่องสำรองไฟ</t>
  </si>
  <si>
    <t>Server ทดแทนตัวเก่า</t>
  </si>
  <si>
    <t>ระบบควบคุมอุณหภูมิ</t>
  </si>
  <si>
    <t>ระบบแสกนใบหน้า</t>
  </si>
  <si>
    <t>nursecall</t>
  </si>
  <si>
    <t>Pipeline</t>
  </si>
  <si>
    <t xml:space="preserve">คอมพิวเตอร์ทดแทนminiPC kiosk </t>
  </si>
  <si>
    <t>เกินงบ</t>
  </si>
  <si>
    <t>เหลือ</t>
  </si>
  <si>
    <t>รอจ่าย</t>
  </si>
  <si>
    <t>ทำรั้วบ้านพัก</t>
  </si>
  <si>
    <t>ตั้งซุ่นเส่งเฟอร์นิเจอร์</t>
  </si>
  <si>
    <t>ดูโฮม</t>
  </si>
  <si>
    <t>วิเชียรผ้าม่าน</t>
  </si>
  <si>
    <t>อินเด็กซ์</t>
  </si>
  <si>
    <t>อุบลคอมพิวเตอร์</t>
  </si>
  <si>
    <t>ระบบสายแลน(อุบลคอมพิวเตอร์)</t>
  </si>
  <si>
    <t>ร้านแอล เอเซอร์วิส (เดินสายโทรศัพท์)</t>
  </si>
  <si>
    <t>จ้างเหมา</t>
  </si>
  <si>
    <t>กั้นไว้ ปี 65-66</t>
  </si>
  <si>
    <t>รายจ่าย (ตค-กย 66)</t>
  </si>
  <si>
    <t xml:space="preserve">       1. Fix cost รพ.สต (ไตรมาส 1)</t>
  </si>
  <si>
    <t xml:space="preserve">       2. ค่าตอบแทน ฉ.11 รพ.สต.(ไตรมาส 1)</t>
  </si>
  <si>
    <t xml:space="preserve">       3. Fix cost สสอ. (ไตรมาส 1)</t>
  </si>
  <si>
    <t xml:space="preserve">       4.  Fix cost รพ.ม่วงสามสิบ  (ไตรมาส 1)</t>
  </si>
  <si>
    <t xml:space="preserve">       5.  ค่าตอบแทน ฉ.11 โรงพยาบาล (ไตรมาส 1)</t>
  </si>
  <si>
    <t>ค่าตอบแทนเทศกาลสงกรานต์/ปีใหม่/ค่าชันสูตร</t>
  </si>
  <si>
    <t>ค่าตอบแทนอื่นๆ</t>
  </si>
  <si>
    <t>ณ  30 กย 66</t>
  </si>
  <si>
    <t>โอนเงิน HI ให้ลูกข่าย</t>
  </si>
  <si>
    <t>รายรับ  ประจำปี 2566</t>
  </si>
  <si>
    <t>รายจ่าย ประจำปี 2566</t>
  </si>
  <si>
    <t>ขาดทุนประจำปี</t>
  </si>
  <si>
    <t>มูลค่าการใช้วัสดุ (ประจำปี66)</t>
  </si>
  <si>
    <t>วัสดุคงคลัง (ณ 30 กย 66)</t>
  </si>
  <si>
    <t>คงเหลือ ณ 30 กย 66 ยกไป</t>
  </si>
  <si>
    <t>รายรับประมาณการ (ต.ค.66)</t>
  </si>
  <si>
    <t>รายรับ-รายจ่ายระหว่างปี 2566</t>
  </si>
  <si>
    <t>ผลการดำเนินงาน ม.ค.66</t>
  </si>
  <si>
    <t>รวมผลการดำเนินงาน</t>
  </si>
  <si>
    <t>ค่าครุภัณฑ์+ครุภัณฑ์เงินบำรุง</t>
  </si>
  <si>
    <t>รายจ่ายสนับสนุน รพ.สต. รพช. รพท. รพศ. สสอ. สสจ.</t>
  </si>
  <si>
    <t>รายจ่ายอื่นๆ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</si>
  <si>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</si>
  <si>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</si>
  <si>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</si>
  <si>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</si>
  <si>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</si>
  <si>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</si>
  <si>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</si>
  <si>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</si>
  <si>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</si>
  <si>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</si>
  <si>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</si>
  <si>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</si>
  <si>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</si>
  <si>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</si>
  <si>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</si>
  <si>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</si>
  <si>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                      เงินบำรุง ยกมา  1 ตค  66</t>
  </si>
  <si>
    <t>กั้นเงินไว้สำหรับสิ่งก่อสร้าง/ปรับปรุง/ครุภัณฑ์ ปี 67</t>
  </si>
  <si>
    <t>คงเหลือเงิน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</si>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</sst>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,##0.00_ ;[Red]\-#,##0.00\ "/>
    <numFmt numFmtId="188" formatCode="#,##0.00_ ;\-#,##0.00\ "/>
    <numFmt numFmtId="189" formatCode="[$-D00041E]0"/>
    <numFmt numFmtId="190" formatCode="_(* #,##0.00_);_(* \(#,##0.00\);_(* &quot;-&quot;??_);_(@_)"/>
    <numFmt numFmtId="191" formatCode="_-* #,##0.00_-;\-* #,##0.00_-;_-* &quot;-&quot;??_-;_-@"/>
  </numFmts>
  <fonts count="132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u val="singleAccounting"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 val="singleAccounting"/>
      <sz val="11"/>
      <color rgb="FFFF0000"/>
      <name val="Arial"/>
      <family val="2"/>
    </font>
    <font>
      <sz val="16"/>
      <color theme="1"/>
      <name val="TH SarabunPSK"/>
      <family val="2"/>
    </font>
    <font>
      <u val="singleAccounting"/>
      <sz val="10"/>
      <color rgb="FFFF0000"/>
      <name val="Arial"/>
      <family val="2"/>
    </font>
    <font>
      <u val="singleAccounting"/>
      <sz val="10"/>
      <color theme="1"/>
      <name val="Arial"/>
      <family val="2"/>
    </font>
    <font>
      <u/>
      <sz val="16"/>
      <color rgb="FFFF0000"/>
      <name val="Tahoma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22"/>
      <color theme="1"/>
      <name val="TH SarabunPSK"/>
      <family val="2"/>
    </font>
    <font>
      <b/>
      <u/>
      <sz val="16"/>
      <color rgb="FFFF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FF0000"/>
      <name val="TH SarabunPSK"/>
      <family val="2"/>
    </font>
    <font>
      <sz val="14"/>
      <name val="Cordia New"/>
      <family val="2"/>
    </font>
    <font>
      <sz val="14"/>
      <color theme="1"/>
      <name val="Arial"/>
      <family val="2"/>
    </font>
    <font>
      <sz val="26"/>
      <color rgb="FFFF0000"/>
      <name val="TH SarabunPSK"/>
      <family val="2"/>
    </font>
    <font>
      <sz val="24"/>
      <color rgb="FFFF0000"/>
      <name val="Tahoma"/>
      <family val="2"/>
    </font>
    <font>
      <sz val="20"/>
      <name val="Tahoma"/>
      <family val="2"/>
    </font>
    <font>
      <sz val="15"/>
      <name val="Tahoma"/>
      <family val="2"/>
    </font>
    <font>
      <sz val="12"/>
      <color rgb="FF00B050"/>
      <name val="Tahoma"/>
      <family val="2"/>
    </font>
    <font>
      <b/>
      <u/>
      <sz val="15"/>
      <color rgb="FFFF0000"/>
      <name val="Tahoma"/>
      <family val="2"/>
    </font>
    <font>
      <b/>
      <sz val="15"/>
      <color rgb="FF000000"/>
      <name val="Tahoma"/>
      <family val="2"/>
    </font>
    <font>
      <sz val="15"/>
      <color theme="1"/>
      <name val="Tahoma"/>
      <family val="2"/>
    </font>
    <font>
      <b/>
      <sz val="15"/>
      <color theme="1"/>
      <name val="Tahoma"/>
      <family val="2"/>
    </font>
    <font>
      <b/>
      <sz val="15"/>
      <name val="Tahoma"/>
      <family val="2"/>
    </font>
    <font>
      <sz val="14"/>
      <color theme="1"/>
      <name val="Tahoma"/>
      <family val="2"/>
    </font>
    <font>
      <sz val="11"/>
      <name val="Tahoma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14"/>
      <name val="Tahoma"/>
      <family val="2"/>
    </font>
    <font>
      <b/>
      <sz val="15"/>
      <color rgb="FFFF0000"/>
      <name val="Tahoma"/>
      <family val="2"/>
    </font>
    <font>
      <sz val="15"/>
      <color rgb="FFFF0000"/>
      <name val="Tahoma"/>
      <family val="2"/>
    </font>
    <font>
      <b/>
      <sz val="26"/>
      <name val="Tahoma"/>
      <family val="2"/>
    </font>
    <font>
      <sz val="18"/>
      <color theme="1"/>
      <name val="Arial"/>
      <family val="2"/>
    </font>
    <font>
      <sz val="18"/>
      <color rgb="FFFF0000"/>
      <name val="Arial"/>
      <family val="2"/>
    </font>
    <font>
      <sz val="16"/>
      <color rgb="FFFF0000"/>
      <name val="Tahoma"/>
      <family val="2"/>
      <charset val="222"/>
    </font>
    <font>
      <b/>
      <sz val="26"/>
      <color rgb="FFFF0000"/>
      <name val="Tahoma"/>
      <family val="2"/>
    </font>
    <font>
      <u val="singleAccounting"/>
      <sz val="12"/>
      <color theme="1"/>
      <name val="Arial"/>
      <family val="2"/>
    </font>
    <font>
      <u val="singleAccounting"/>
      <sz val="11"/>
      <name val="Arial"/>
      <family val="2"/>
    </font>
    <font>
      <u val="singleAccounting"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sz val="14"/>
      <name val="TH SarabunIT๙"/>
      <family val="2"/>
    </font>
    <font>
      <b/>
      <sz val="16"/>
      <color theme="1"/>
      <name val="TH SarabunPSK"/>
      <family val="2"/>
    </font>
    <font>
      <sz val="14"/>
      <color rgb="FFFF0000"/>
      <name val="TH SarabunIT๙"/>
      <family val="2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sz val="12"/>
      <color rgb="FFFF0000"/>
      <name val="AngsanaUPC"/>
      <family val="1"/>
    </font>
    <font>
      <sz val="16"/>
      <color rgb="FFFF0000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</font>
    <font>
      <sz val="16"/>
      <name val="Angsana New"/>
      <family val="1"/>
    </font>
    <font>
      <sz val="36"/>
      <color rgb="FFFF0000"/>
      <name val="Arial"/>
      <family val="2"/>
    </font>
    <font>
      <b/>
      <sz val="28"/>
      <color theme="1"/>
      <name val="Tahoma"/>
      <family val="2"/>
    </font>
    <font>
      <sz val="16"/>
      <color rgb="FFFF0000"/>
      <name val="Arial"/>
      <family val="2"/>
    </font>
    <font>
      <b/>
      <sz val="18"/>
      <color theme="1"/>
      <name val="Arial"/>
      <family val="2"/>
    </font>
    <font>
      <sz val="15"/>
      <color rgb="FFFF000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4"/>
      <color theme="1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IT๙"/>
      <family val="2"/>
    </font>
    <font>
      <b/>
      <sz val="15"/>
      <name val="TH SarabunPSK"/>
      <family val="2"/>
      <charset val="222"/>
    </font>
    <font>
      <b/>
      <sz val="15"/>
      <color theme="1"/>
      <name val="TH SarabunIT๙"/>
      <family val="2"/>
      <charset val="222"/>
    </font>
    <font>
      <u val="singleAccounting"/>
      <sz val="15"/>
      <name val="TH SarabunPSK"/>
      <family val="2"/>
    </font>
    <font>
      <b/>
      <sz val="15"/>
      <color rgb="FFFF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FF0000"/>
      <name val="Arial"/>
      <family val="2"/>
    </font>
    <font>
      <b/>
      <u val="doubleAccounting"/>
      <sz val="14"/>
      <color rgb="FFFF0000"/>
      <name val="Arial"/>
      <family val="2"/>
    </font>
    <font>
      <b/>
      <sz val="24"/>
      <color rgb="FFFF0000"/>
      <name val="TH SarabunPSK"/>
      <family val="2"/>
    </font>
    <font>
      <u val="singleAccounting"/>
      <sz val="14"/>
      <color rgb="FFFF0000"/>
      <name val="Arial"/>
      <family val="2"/>
    </font>
    <font>
      <u/>
      <sz val="14"/>
      <color rgb="FFFF0000"/>
      <name val="Tahoma"/>
      <family val="2"/>
    </font>
    <font>
      <sz val="15"/>
      <color rgb="FFFF0000"/>
      <name val="TH SarabunPSK"/>
      <family val="2"/>
    </font>
    <font>
      <sz val="22"/>
      <name val="TH SarabunPSK"/>
      <family val="2"/>
    </font>
    <font>
      <b/>
      <sz val="18"/>
      <color rgb="FFFF0000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20"/>
      <name val="TH SarabunPSK"/>
      <family val="2"/>
    </font>
    <font>
      <b/>
      <sz val="15"/>
      <color rgb="FFFF0000"/>
      <name val="TH SarabunPSK"/>
      <family val="2"/>
      <charset val="222"/>
    </font>
    <font>
      <b/>
      <sz val="15"/>
      <color theme="1"/>
      <name val="TH SarabunIT๙"/>
      <family val="2"/>
    </font>
    <font>
      <sz val="14"/>
      <color rgb="FFFF0000"/>
      <name val="Tahoma"/>
      <family val="2"/>
    </font>
    <font>
      <b/>
      <sz val="19"/>
      <name val="TH SarabunPSK"/>
      <family val="2"/>
    </font>
    <font>
      <b/>
      <sz val="17"/>
      <color theme="1"/>
      <name val="TH SarabunPSK"/>
      <family val="2"/>
    </font>
    <font>
      <u val="singleAccounting"/>
      <sz val="14"/>
      <name val="Arial"/>
      <family val="2"/>
    </font>
    <font>
      <sz val="18"/>
      <name val="Arial"/>
      <family val="2"/>
    </font>
    <font>
      <u val="singleAccounting"/>
      <sz val="12"/>
      <color rgb="FFFF0000"/>
      <name val="Arial"/>
      <family val="2"/>
    </font>
    <font>
      <sz val="11"/>
      <name val="TH SarabunPSK"/>
      <family val="2"/>
    </font>
    <font>
      <b/>
      <sz val="16"/>
      <color rgb="FF000000"/>
      <name val="TH SarabunPSK"/>
      <family val="2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6"/>
      <color rgb="FF000000"/>
      <name val="TH SarabunPSK"/>
      <family val="2"/>
    </font>
    <font>
      <b/>
      <sz val="11"/>
      <color theme="1"/>
      <name val="TH SarabunPSK"/>
      <family val="2"/>
    </font>
    <font>
      <sz val="11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F9CB9C"/>
        <bgColor rgb="FFF9CB9C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rgb="FFECECEC"/>
      </patternFill>
    </fill>
    <fill>
      <patternFill patternType="solid">
        <fgColor theme="0"/>
        <bgColor rgb="FFF9CB9C"/>
      </patternFill>
    </fill>
    <fill>
      <patternFill patternType="solid">
        <fgColor theme="9" tint="0.39997558519241921"/>
        <bgColor rgb="FFF9CB9C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ck">
        <color theme="1"/>
      </right>
      <top style="thin">
        <color rgb="FFABABAB"/>
      </top>
      <bottom style="thin">
        <color rgb="FFABABAB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0" borderId="0"/>
    <xf numFmtId="190" fontId="80" fillId="0" borderId="0" applyFont="0" applyFill="0" applyBorder="0" applyAlignment="0" applyProtection="0"/>
  </cellStyleXfs>
  <cellXfs count="937">
    <xf numFmtId="0" fontId="0" fillId="0" borderId="0" xfId="0"/>
    <xf numFmtId="0" fontId="0" fillId="0" borderId="1" xfId="0" applyBorder="1"/>
    <xf numFmtId="43" fontId="0" fillId="0" borderId="1" xfId="0" applyNumberFormat="1" applyBorder="1"/>
    <xf numFmtId="0" fontId="2" fillId="0" borderId="1" xfId="0" applyFont="1" applyBorder="1"/>
    <xf numFmtId="43" fontId="0" fillId="0" borderId="0" xfId="1" applyFont="1" applyBorder="1"/>
    <xf numFmtId="0" fontId="3" fillId="0" borderId="0" xfId="0" applyFont="1"/>
    <xf numFmtId="43" fontId="3" fillId="0" borderId="0" xfId="1" applyFont="1"/>
    <xf numFmtId="43" fontId="5" fillId="0" borderId="0" xfId="1" applyFont="1"/>
    <xf numFmtId="3" fontId="0" fillId="0" borderId="0" xfId="0" applyNumberFormat="1"/>
    <xf numFmtId="43" fontId="3" fillId="0" borderId="0" xfId="0" applyNumberFormat="1" applyFont="1"/>
    <xf numFmtId="43" fontId="8" fillId="0" borderId="0" xfId="1" applyFont="1"/>
    <xf numFmtId="43" fontId="4" fillId="0" borderId="0" xfId="1" applyFont="1"/>
    <xf numFmtId="43" fontId="10" fillId="0" borderId="0" xfId="0" applyNumberFormat="1" applyFont="1"/>
    <xf numFmtId="43" fontId="10" fillId="0" borderId="1" xfId="1" applyFont="1" applyBorder="1"/>
    <xf numFmtId="43" fontId="10" fillId="0" borderId="0" xfId="1" applyFont="1" applyBorder="1"/>
    <xf numFmtId="0" fontId="1" fillId="0" borderId="0" xfId="0" applyFont="1"/>
    <xf numFmtId="43" fontId="1" fillId="0" borderId="0" xfId="1" applyFont="1" applyFill="1" applyBorder="1"/>
    <xf numFmtId="43" fontId="4" fillId="0" borderId="0" xfId="1" applyFont="1" applyFill="1"/>
    <xf numFmtId="4" fontId="0" fillId="0" borderId="0" xfId="0" applyNumberFormat="1"/>
    <xf numFmtId="43" fontId="8" fillId="0" borderId="0" xfId="1" applyFont="1" applyFill="1"/>
    <xf numFmtId="16" fontId="1" fillId="0" borderId="0" xfId="0" applyNumberFormat="1" applyFont="1"/>
    <xf numFmtId="43" fontId="12" fillId="0" borderId="0" xfId="1" applyFont="1"/>
    <xf numFmtId="43" fontId="1" fillId="0" borderId="0" xfId="1" applyFont="1"/>
    <xf numFmtId="3" fontId="0" fillId="0" borderId="0" xfId="1" applyNumberFormat="1" applyFont="1" applyBorder="1"/>
    <xf numFmtId="3" fontId="0" fillId="0" borderId="0" xfId="1" applyNumberFormat="1" applyFont="1" applyFill="1" applyBorder="1"/>
    <xf numFmtId="0" fontId="10" fillId="3" borderId="0" xfId="0" applyFont="1" applyFill="1"/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13" fillId="3" borderId="0" xfId="0" applyFont="1" applyFill="1" applyAlignment="1">
      <alignment horizontal="left"/>
    </xf>
    <xf numFmtId="3" fontId="0" fillId="2" borderId="0" xfId="0" applyNumberFormat="1" applyFill="1"/>
    <xf numFmtId="0" fontId="7" fillId="2" borderId="0" xfId="0" applyFont="1" applyFill="1"/>
    <xf numFmtId="43" fontId="5" fillId="0" borderId="0" xfId="1" applyFont="1" applyAlignment="1">
      <alignment horizontal="right"/>
    </xf>
    <xf numFmtId="43" fontId="0" fillId="0" borderId="0" xfId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3" fillId="0" borderId="0" xfId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1" applyFont="1" applyBorder="1"/>
    <xf numFmtId="3" fontId="0" fillId="4" borderId="0" xfId="0" applyNumberFormat="1" applyFill="1"/>
    <xf numFmtId="0" fontId="15" fillId="4" borderId="0" xfId="0" applyFont="1" applyFill="1"/>
    <xf numFmtId="0" fontId="0" fillId="4" borderId="0" xfId="0" applyFill="1"/>
    <xf numFmtId="43" fontId="3" fillId="2" borderId="0" xfId="1" applyFont="1" applyFill="1"/>
    <xf numFmtId="0" fontId="6" fillId="0" borderId="0" xfId="0" applyFont="1"/>
    <xf numFmtId="0" fontId="2" fillId="0" borderId="0" xfId="0" applyFont="1"/>
    <xf numFmtId="0" fontId="0" fillId="0" borderId="4" xfId="0" applyBorder="1"/>
    <xf numFmtId="4" fontId="0" fillId="0" borderId="4" xfId="0" applyNumberFormat="1" applyBorder="1"/>
    <xf numFmtId="0" fontId="22" fillId="0" borderId="0" xfId="0" applyFont="1"/>
    <xf numFmtId="3" fontId="1" fillId="0" borderId="0" xfId="0" applyNumberFormat="1" applyFont="1"/>
    <xf numFmtId="0" fontId="24" fillId="0" borderId="0" xfId="0" applyFont="1"/>
    <xf numFmtId="0" fontId="12" fillId="0" borderId="0" xfId="0" applyFont="1"/>
    <xf numFmtId="3" fontId="12" fillId="0" borderId="0" xfId="0" applyNumberFormat="1" applyFont="1"/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43" fontId="27" fillId="0" borderId="0" xfId="1" applyFont="1"/>
    <xf numFmtId="43" fontId="28" fillId="0" borderId="0" xfId="1" applyFont="1"/>
    <xf numFmtId="43" fontId="1" fillId="0" borderId="0" xfId="1" applyFont="1" applyFill="1"/>
    <xf numFmtId="43" fontId="12" fillId="0" borderId="0" xfId="1" applyFont="1" applyBorder="1"/>
    <xf numFmtId="3" fontId="12" fillId="0" borderId="0" xfId="1" applyNumberFormat="1" applyFont="1" applyFill="1" applyBorder="1"/>
    <xf numFmtId="43" fontId="28" fillId="0" borderId="0" xfId="1" applyFont="1" applyFill="1"/>
    <xf numFmtId="43" fontId="12" fillId="0" borderId="0" xfId="1" applyFont="1" applyFill="1" applyBorder="1"/>
    <xf numFmtId="43" fontId="12" fillId="0" borderId="0" xfId="1" applyFont="1" applyFill="1" applyBorder="1" applyAlignment="1">
      <alignment horizontal="right"/>
    </xf>
    <xf numFmtId="4" fontId="12" fillId="0" borderId="0" xfId="0" applyNumberFormat="1" applyFont="1"/>
    <xf numFmtId="0" fontId="9" fillId="0" borderId="0" xfId="0" applyFont="1"/>
    <xf numFmtId="0" fontId="31" fillId="0" borderId="0" xfId="0" applyFont="1"/>
    <xf numFmtId="4" fontId="9" fillId="0" borderId="0" xfId="0" applyNumberFormat="1" applyFont="1"/>
    <xf numFmtId="3" fontId="22" fillId="0" borderId="0" xfId="0" applyNumberFormat="1" applyFont="1"/>
    <xf numFmtId="0" fontId="12" fillId="0" borderId="0" xfId="0" applyFont="1" applyAlignment="1">
      <alignment horizontal="left"/>
    </xf>
    <xf numFmtId="0" fontId="26" fillId="0" borderId="0" xfId="0" applyFont="1"/>
    <xf numFmtId="187" fontId="26" fillId="0" borderId="0" xfId="0" applyNumberFormat="1" applyFont="1"/>
    <xf numFmtId="187" fontId="32" fillId="0" borderId="0" xfId="0" applyNumberFormat="1" applyFont="1"/>
    <xf numFmtId="4" fontId="11" fillId="0" borderId="0" xfId="0" applyNumberFormat="1" applyFont="1"/>
    <xf numFmtId="0" fontId="42" fillId="0" borderId="0" xfId="0" applyFont="1"/>
    <xf numFmtId="0" fontId="43" fillId="0" borderId="0" xfId="0" applyFont="1"/>
    <xf numFmtId="4" fontId="43" fillId="0" borderId="0" xfId="0" applyNumberFormat="1" applyFont="1"/>
    <xf numFmtId="0" fontId="44" fillId="0" borderId="0" xfId="0" applyFont="1"/>
    <xf numFmtId="4" fontId="44" fillId="0" borderId="0" xfId="0" applyNumberFormat="1" applyFont="1"/>
    <xf numFmtId="0" fontId="45" fillId="0" borderId="0" xfId="0" applyFont="1"/>
    <xf numFmtId="0" fontId="46" fillId="2" borderId="5" xfId="0" applyFont="1" applyFill="1" applyBorder="1" applyAlignment="1">
      <alignment horizontal="left" vertical="center"/>
    </xf>
    <xf numFmtId="0" fontId="44" fillId="2" borderId="7" xfId="0" applyFont="1" applyFill="1" applyBorder="1"/>
    <xf numFmtId="4" fontId="44" fillId="0" borderId="9" xfId="0" applyNumberFormat="1" applyFont="1" applyBorder="1"/>
    <xf numFmtId="0" fontId="44" fillId="0" borderId="8" xfId="0" applyFont="1" applyBorder="1"/>
    <xf numFmtId="0" fontId="47" fillId="0" borderId="0" xfId="0" applyFont="1" applyAlignment="1">
      <alignment horizontal="left" vertical="center"/>
    </xf>
    <xf numFmtId="43" fontId="44" fillId="0" borderId="9" xfId="1" applyFont="1" applyBorder="1"/>
    <xf numFmtId="0" fontId="48" fillId="0" borderId="8" xfId="0" applyFont="1" applyBorder="1"/>
    <xf numFmtId="4" fontId="48" fillId="0" borderId="9" xfId="0" applyNumberFormat="1" applyFont="1" applyBorder="1"/>
    <xf numFmtId="0" fontId="48" fillId="0" borderId="0" xfId="0" applyFont="1" applyAlignment="1">
      <alignment horizontal="left" vertical="center"/>
    </xf>
    <xf numFmtId="43" fontId="48" fillId="0" borderId="9" xfId="1" applyFont="1" applyBorder="1" applyAlignment="1">
      <alignment horizontal="right"/>
    </xf>
    <xf numFmtId="0" fontId="49" fillId="0" borderId="0" xfId="0" applyFont="1" applyAlignment="1">
      <alignment horizontal="left" vertical="center"/>
    </xf>
    <xf numFmtId="43" fontId="48" fillId="0" borderId="9" xfId="1" applyFont="1" applyBorder="1"/>
    <xf numFmtId="0" fontId="50" fillId="0" borderId="0" xfId="0" applyFont="1"/>
    <xf numFmtId="0" fontId="51" fillId="0" borderId="8" xfId="0" applyFont="1" applyBorder="1"/>
    <xf numFmtId="4" fontId="52" fillId="0" borderId="11" xfId="0" applyNumberFormat="1" applyFont="1" applyBorder="1"/>
    <xf numFmtId="43" fontId="44" fillId="0" borderId="12" xfId="1" applyFont="1" applyBorder="1"/>
    <xf numFmtId="4" fontId="44" fillId="0" borderId="12" xfId="0" applyNumberFormat="1" applyFont="1" applyBorder="1"/>
    <xf numFmtId="0" fontId="53" fillId="0" borderId="8" xfId="0" applyFont="1" applyBorder="1"/>
    <xf numFmtId="0" fontId="54" fillId="0" borderId="8" xfId="0" applyFont="1" applyBorder="1"/>
    <xf numFmtId="4" fontId="44" fillId="0" borderId="12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44" fillId="0" borderId="10" xfId="0" applyNumberFormat="1" applyFont="1" applyBorder="1" applyAlignment="1">
      <alignment horizontal="right"/>
    </xf>
    <xf numFmtId="4" fontId="56" fillId="0" borderId="0" xfId="0" applyNumberFormat="1" applyFont="1"/>
    <xf numFmtId="0" fontId="57" fillId="0" borderId="0" xfId="0" applyFont="1"/>
    <xf numFmtId="43" fontId="59" fillId="0" borderId="0" xfId="1" applyFont="1"/>
    <xf numFmtId="43" fontId="60" fillId="0" borderId="0" xfId="1" applyFont="1"/>
    <xf numFmtId="0" fontId="35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3" fontId="30" fillId="0" borderId="0" xfId="0" applyNumberFormat="1" applyFont="1"/>
    <xf numFmtId="0" fontId="30" fillId="0" borderId="0" xfId="0" applyFont="1"/>
    <xf numFmtId="0" fontId="44" fillId="0" borderId="15" xfId="0" applyFont="1" applyBorder="1"/>
    <xf numFmtId="0" fontId="55" fillId="0" borderId="15" xfId="0" applyFont="1" applyBorder="1"/>
    <xf numFmtId="0" fontId="44" fillId="5" borderId="0" xfId="0" applyFont="1" applyFill="1"/>
    <xf numFmtId="43" fontId="1" fillId="5" borderId="0" xfId="1" applyFont="1" applyFill="1"/>
    <xf numFmtId="43" fontId="0" fillId="5" borderId="0" xfId="1" applyFont="1" applyFill="1" applyBorder="1"/>
    <xf numFmtId="0" fontId="12" fillId="0" borderId="18" xfId="0" applyFont="1" applyBorder="1" applyAlignment="1">
      <alignment horizontal="left"/>
    </xf>
    <xf numFmtId="43" fontId="27" fillId="0" borderId="0" xfId="1" applyFont="1" applyFill="1" applyBorder="1"/>
    <xf numFmtId="43" fontId="28" fillId="0" borderId="0" xfId="1" applyFont="1" applyFill="1" applyBorder="1"/>
    <xf numFmtId="0" fontId="12" fillId="0" borderId="18" xfId="0" applyFont="1" applyBorder="1"/>
    <xf numFmtId="4" fontId="7" fillId="0" borderId="0" xfId="0" applyNumberFormat="1" applyFont="1" applyAlignment="1">
      <alignment horizontal="center"/>
    </xf>
    <xf numFmtId="0" fontId="44" fillId="0" borderId="0" xfId="0" applyFont="1" applyAlignment="1">
      <alignment vertical="center"/>
    </xf>
    <xf numFmtId="43" fontId="40" fillId="0" borderId="0" xfId="1" applyFont="1"/>
    <xf numFmtId="4" fontId="10" fillId="0" borderId="0" xfId="0" applyNumberFormat="1" applyFont="1"/>
    <xf numFmtId="43" fontId="12" fillId="6" borderId="0" xfId="1" applyFont="1" applyFill="1" applyBorder="1"/>
    <xf numFmtId="4" fontId="12" fillId="6" borderId="0" xfId="0" applyNumberFormat="1" applyFont="1" applyFill="1"/>
    <xf numFmtId="0" fontId="68" fillId="0" borderId="0" xfId="0" applyFont="1" applyAlignment="1">
      <alignment horizontal="center" vertical="center"/>
    </xf>
    <xf numFmtId="0" fontId="69" fillId="0" borderId="26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1" fillId="0" borderId="24" xfId="0" applyFont="1" applyBorder="1" applyAlignment="1">
      <alignment horizontal="center" vertical="center" wrapText="1"/>
    </xf>
    <xf numFmtId="0" fontId="71" fillId="0" borderId="27" xfId="0" applyFont="1" applyBorder="1" applyAlignment="1">
      <alignment vertical="center" wrapText="1"/>
    </xf>
    <xf numFmtId="0" fontId="71" fillId="0" borderId="22" xfId="0" applyFont="1" applyBorder="1" applyAlignment="1">
      <alignment vertical="center" wrapText="1"/>
    </xf>
    <xf numFmtId="0" fontId="71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1" fillId="0" borderId="27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/>
    </xf>
    <xf numFmtId="0" fontId="72" fillId="0" borderId="0" xfId="0" applyFont="1" applyAlignment="1">
      <alignment vertical="center"/>
    </xf>
    <xf numFmtId="0" fontId="0" fillId="8" borderId="0" xfId="0" applyFill="1"/>
    <xf numFmtId="4" fontId="0" fillId="8" borderId="0" xfId="0" applyNumberFormat="1" applyFill="1"/>
    <xf numFmtId="187" fontId="26" fillId="8" borderId="0" xfId="1" applyNumberFormat="1" applyFont="1" applyFill="1" applyBorder="1" applyAlignment="1">
      <alignment horizontal="center"/>
    </xf>
    <xf numFmtId="0" fontId="26" fillId="8" borderId="0" xfId="0" applyFont="1" applyFill="1"/>
    <xf numFmtId="0" fontId="10" fillId="5" borderId="1" xfId="0" applyFont="1" applyFill="1" applyBorder="1" applyAlignment="1">
      <alignment horizontal="left"/>
    </xf>
    <xf numFmtId="0" fontId="12" fillId="0" borderId="1" xfId="0" applyFont="1" applyBorder="1"/>
    <xf numFmtId="43" fontId="12" fillId="0" borderId="1" xfId="1" applyFont="1" applyFill="1" applyBorder="1"/>
    <xf numFmtId="43" fontId="10" fillId="0" borderId="1" xfId="1" applyFont="1" applyFill="1" applyBorder="1"/>
    <xf numFmtId="43" fontId="12" fillId="0" borderId="1" xfId="1" applyFont="1" applyBorder="1"/>
    <xf numFmtId="0" fontId="12" fillId="0" borderId="1" xfId="0" applyFont="1" applyBorder="1" applyAlignment="1">
      <alignment horizontal="left"/>
    </xf>
    <xf numFmtId="43" fontId="10" fillId="0" borderId="1" xfId="1" applyFont="1" applyFill="1" applyBorder="1" applyAlignment="1">
      <alignment horizontal="center"/>
    </xf>
    <xf numFmtId="0" fontId="1" fillId="0" borderId="1" xfId="0" applyFont="1" applyBorder="1"/>
    <xf numFmtId="43" fontId="10" fillId="0" borderId="1" xfId="0" applyNumberFormat="1" applyFont="1" applyBorder="1"/>
    <xf numFmtId="43" fontId="10" fillId="0" borderId="1" xfId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3" fontId="10" fillId="5" borderId="1" xfId="1" applyFont="1" applyFill="1" applyBorder="1" applyAlignment="1">
      <alignment horizontal="left"/>
    </xf>
    <xf numFmtId="43" fontId="10" fillId="0" borderId="1" xfId="1" applyFont="1" applyBorder="1" applyAlignment="1"/>
    <xf numFmtId="43" fontId="10" fillId="2" borderId="1" xfId="0" applyNumberFormat="1" applyFont="1" applyFill="1" applyBorder="1"/>
    <xf numFmtId="43" fontId="27" fillId="0" borderId="2" xfId="1" applyFont="1" applyBorder="1"/>
    <xf numFmtId="43" fontId="10" fillId="0" borderId="2" xfId="1" applyFont="1" applyBorder="1"/>
    <xf numFmtId="0" fontId="0" fillId="0" borderId="2" xfId="0" applyBorder="1"/>
    <xf numFmtId="0" fontId="1" fillId="0" borderId="2" xfId="0" applyFont="1" applyBorder="1"/>
    <xf numFmtId="43" fontId="0" fillId="5" borderId="0" xfId="0" applyNumberFormat="1" applyFill="1"/>
    <xf numFmtId="0" fontId="0" fillId="5" borderId="2" xfId="0" applyFill="1" applyBorder="1"/>
    <xf numFmtId="43" fontId="0" fillId="5" borderId="1" xfId="0" applyNumberFormat="1" applyFill="1" applyBorder="1"/>
    <xf numFmtId="43" fontId="10" fillId="5" borderId="1" xfId="0" applyNumberFormat="1" applyFont="1" applyFill="1" applyBorder="1"/>
    <xf numFmtId="0" fontId="73" fillId="0" borderId="24" xfId="0" applyFont="1" applyBorder="1" applyAlignment="1">
      <alignment horizontal="center" vertical="center" wrapText="1"/>
    </xf>
    <xf numFmtId="0" fontId="73" fillId="0" borderId="27" xfId="0" applyFont="1" applyBorder="1" applyAlignment="1">
      <alignment vertical="center" wrapText="1"/>
    </xf>
    <xf numFmtId="0" fontId="73" fillId="0" borderId="27" xfId="0" applyFont="1" applyBorder="1" applyAlignment="1">
      <alignment horizontal="center" vertical="center" wrapText="1"/>
    </xf>
    <xf numFmtId="0" fontId="73" fillId="0" borderId="28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1" fillId="2" borderId="0" xfId="0" applyFont="1" applyFill="1"/>
    <xf numFmtId="0" fontId="71" fillId="0" borderId="0" xfId="0" applyFont="1" applyAlignment="1">
      <alignment horizontal="center" vertical="center" wrapText="1"/>
    </xf>
    <xf numFmtId="189" fontId="0" fillId="0" borderId="0" xfId="0" applyNumberFormat="1" applyAlignment="1">
      <alignment horizontal="center"/>
    </xf>
    <xf numFmtId="43" fontId="10" fillId="0" borderId="0" xfId="1" applyFont="1" applyBorder="1" applyAlignment="1">
      <alignment horizontal="left"/>
    </xf>
    <xf numFmtId="43" fontId="0" fillId="0" borderId="0" xfId="0" applyNumberFormat="1"/>
    <xf numFmtId="4" fontId="10" fillId="0" borderId="1" xfId="0" applyNumberFormat="1" applyFont="1" applyBorder="1"/>
    <xf numFmtId="4" fontId="0" fillId="0" borderId="1" xfId="0" applyNumberFormat="1" applyBorder="1"/>
    <xf numFmtId="0" fontId="0" fillId="9" borderId="16" xfId="0" applyFill="1" applyBorder="1"/>
    <xf numFmtId="0" fontId="0" fillId="9" borderId="17" xfId="0" applyFill="1" applyBorder="1"/>
    <xf numFmtId="43" fontId="13" fillId="9" borderId="0" xfId="1" applyFont="1" applyFill="1" applyBorder="1"/>
    <xf numFmtId="43" fontId="14" fillId="9" borderId="0" xfId="1" applyFont="1" applyFill="1" applyBorder="1"/>
    <xf numFmtId="43" fontId="15" fillId="9" borderId="0" xfId="1" applyFont="1" applyFill="1" applyBorder="1"/>
    <xf numFmtId="0" fontId="0" fillId="9" borderId="19" xfId="0" applyFill="1" applyBorder="1"/>
    <xf numFmtId="43" fontId="8" fillId="9" borderId="0" xfId="1" applyFont="1" applyFill="1" applyBorder="1"/>
    <xf numFmtId="0" fontId="0" fillId="9" borderId="0" xfId="0" applyFill="1"/>
    <xf numFmtId="43" fontId="5" fillId="9" borderId="0" xfId="1" applyFont="1" applyFill="1" applyBorder="1"/>
    <xf numFmtId="0" fontId="9" fillId="9" borderId="0" xfId="0" applyFont="1" applyFill="1"/>
    <xf numFmtId="43" fontId="9" fillId="9" borderId="0" xfId="1" applyFont="1" applyFill="1" applyBorder="1"/>
    <xf numFmtId="43" fontId="12" fillId="9" borderId="0" xfId="1" applyFont="1" applyFill="1" applyBorder="1"/>
    <xf numFmtId="43" fontId="23" fillId="9" borderId="0" xfId="1" applyFont="1" applyFill="1" applyBorder="1"/>
    <xf numFmtId="43" fontId="64" fillId="9" borderId="0" xfId="1" applyFont="1" applyFill="1" applyBorder="1"/>
    <xf numFmtId="0" fontId="1" fillId="9" borderId="0" xfId="0" applyFont="1" applyFill="1"/>
    <xf numFmtId="43" fontId="0" fillId="9" borderId="0" xfId="1" applyFont="1" applyFill="1" applyBorder="1"/>
    <xf numFmtId="43" fontId="65" fillId="9" borderId="0" xfId="1" applyFont="1" applyFill="1" applyBorder="1"/>
    <xf numFmtId="43" fontId="25" fillId="9" borderId="0" xfId="1" applyFont="1" applyFill="1" applyBorder="1"/>
    <xf numFmtId="43" fontId="28" fillId="9" borderId="0" xfId="1" applyFont="1" applyFill="1" applyBorder="1"/>
    <xf numFmtId="43" fontId="63" fillId="9" borderId="0" xfId="1" applyFont="1" applyFill="1" applyBorder="1"/>
    <xf numFmtId="43" fontId="16" fillId="9" borderId="0" xfId="1" applyFont="1" applyFill="1" applyBorder="1"/>
    <xf numFmtId="43" fontId="18" fillId="9" borderId="0" xfId="1" applyFont="1" applyFill="1" applyBorder="1"/>
    <xf numFmtId="0" fontId="17" fillId="9" borderId="20" xfId="0" applyFont="1" applyFill="1" applyBorder="1"/>
    <xf numFmtId="4" fontId="0" fillId="9" borderId="20" xfId="0" applyNumberFormat="1" applyFill="1" applyBorder="1"/>
    <xf numFmtId="43" fontId="17" fillId="9" borderId="0" xfId="1" applyFont="1" applyFill="1" applyBorder="1" applyAlignment="1">
      <alignment vertical="center"/>
    </xf>
    <xf numFmtId="187" fontId="26" fillId="9" borderId="0" xfId="1" applyNumberFormat="1" applyFont="1" applyFill="1" applyBorder="1" applyAlignment="1">
      <alignment horizontal="center"/>
    </xf>
    <xf numFmtId="187" fontId="26" fillId="9" borderId="19" xfId="1" applyNumberFormat="1" applyFont="1" applyFill="1" applyBorder="1" applyAlignment="1">
      <alignment horizontal="center"/>
    </xf>
    <xf numFmtId="0" fontId="26" fillId="9" borderId="0" xfId="0" applyFont="1" applyFill="1"/>
    <xf numFmtId="0" fontId="74" fillId="0" borderId="0" xfId="0" applyFont="1" applyAlignment="1">
      <alignment vertical="center"/>
    </xf>
    <xf numFmtId="43" fontId="74" fillId="0" borderId="0" xfId="1" applyFont="1" applyFill="1" applyAlignment="1">
      <alignment horizontal="center" vertical="center"/>
    </xf>
    <xf numFmtId="10" fontId="75" fillId="0" borderId="0" xfId="1" applyNumberFormat="1" applyFont="1" applyFill="1" applyAlignment="1">
      <alignment horizontal="right" vertical="center"/>
    </xf>
    <xf numFmtId="43" fontId="74" fillId="0" borderId="0" xfId="1" applyFont="1" applyFill="1" applyAlignment="1">
      <alignment vertical="center"/>
    </xf>
    <xf numFmtId="0" fontId="74" fillId="0" borderId="1" xfId="0" applyFont="1" applyBorder="1" applyAlignment="1">
      <alignment vertical="center"/>
    </xf>
    <xf numFmtId="49" fontId="76" fillId="0" borderId="1" xfId="1" applyNumberFormat="1" applyFont="1" applyFill="1" applyBorder="1" applyAlignment="1">
      <alignment horizontal="center" vertical="center"/>
    </xf>
    <xf numFmtId="10" fontId="76" fillId="0" borderId="1" xfId="1" applyNumberFormat="1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0" fontId="74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left" vertical="center"/>
    </xf>
    <xf numFmtId="43" fontId="74" fillId="0" borderId="1" xfId="1" applyFont="1" applyFill="1" applyBorder="1" applyAlignment="1">
      <alignment horizontal="center" vertical="center"/>
    </xf>
    <xf numFmtId="10" fontId="74" fillId="0" borderId="1" xfId="1" applyNumberFormat="1" applyFont="1" applyFill="1" applyBorder="1" applyAlignment="1">
      <alignment horizontal="center" vertical="center"/>
    </xf>
    <xf numFmtId="0" fontId="74" fillId="0" borderId="1" xfId="0" applyFont="1" applyBorder="1" applyAlignment="1">
      <alignment horizontal="left" vertical="center"/>
    </xf>
    <xf numFmtId="0" fontId="74" fillId="0" borderId="1" xfId="1" applyNumberFormat="1" applyFont="1" applyFill="1" applyBorder="1" applyAlignment="1">
      <alignment horizontal="center" vertical="center"/>
    </xf>
    <xf numFmtId="10" fontId="78" fillId="0" borderId="1" xfId="1" applyNumberFormat="1" applyFont="1" applyFill="1" applyBorder="1" applyAlignment="1">
      <alignment horizontal="center" vertical="center"/>
    </xf>
    <xf numFmtId="43" fontId="74" fillId="0" borderId="29" xfId="1" applyFont="1" applyFill="1" applyBorder="1" applyAlignment="1">
      <alignment horizontal="center" vertical="center"/>
    </xf>
    <xf numFmtId="10" fontId="78" fillId="0" borderId="29" xfId="1" applyNumberFormat="1" applyFont="1" applyFill="1" applyBorder="1" applyAlignment="1">
      <alignment horizontal="center" vertical="center"/>
    </xf>
    <xf numFmtId="0" fontId="76" fillId="2" borderId="1" xfId="0" applyFont="1" applyFill="1" applyBorder="1" applyAlignment="1">
      <alignment horizontal="left" vertical="center"/>
    </xf>
    <xf numFmtId="10" fontId="78" fillId="0" borderId="30" xfId="1" applyNumberFormat="1" applyFont="1" applyFill="1" applyBorder="1" applyAlignment="1">
      <alignment horizontal="center" vertical="center"/>
    </xf>
    <xf numFmtId="43" fontId="74" fillId="0" borderId="31" xfId="1" applyFont="1" applyFill="1" applyBorder="1" applyAlignment="1">
      <alignment horizontal="center" vertical="center"/>
    </xf>
    <xf numFmtId="10" fontId="74" fillId="0" borderId="31" xfId="1" applyNumberFormat="1" applyFont="1" applyFill="1" applyBorder="1" applyAlignment="1">
      <alignment horizontal="center" vertical="center"/>
    </xf>
    <xf numFmtId="0" fontId="76" fillId="5" borderId="1" xfId="0" applyFont="1" applyFill="1" applyBorder="1" applyAlignment="1">
      <alignment horizontal="left" vertical="center"/>
    </xf>
    <xf numFmtId="43" fontId="74" fillId="5" borderId="30" xfId="1" applyFont="1" applyFill="1" applyBorder="1" applyAlignment="1">
      <alignment horizontal="center" vertical="center"/>
    </xf>
    <xf numFmtId="10" fontId="74" fillId="0" borderId="30" xfId="1" applyNumberFormat="1" applyFont="1" applyFill="1" applyBorder="1" applyAlignment="1">
      <alignment horizontal="center" vertical="center"/>
    </xf>
    <xf numFmtId="43" fontId="78" fillId="0" borderId="31" xfId="1" applyFont="1" applyFill="1" applyBorder="1" applyAlignment="1">
      <alignment horizontal="center" vertical="center"/>
    </xf>
    <xf numFmtId="10" fontId="78" fillId="0" borderId="31" xfId="1" applyNumberFormat="1" applyFont="1" applyFill="1" applyBorder="1" applyAlignment="1">
      <alignment horizontal="center" vertical="center"/>
    </xf>
    <xf numFmtId="43" fontId="74" fillId="0" borderId="0" xfId="0" applyNumberFormat="1" applyFont="1" applyAlignment="1">
      <alignment vertical="center"/>
    </xf>
    <xf numFmtId="43" fontId="78" fillId="0" borderId="1" xfId="1" applyFont="1" applyFill="1" applyBorder="1" applyAlignment="1">
      <alignment horizontal="center" vertical="center"/>
    </xf>
    <xf numFmtId="43" fontId="79" fillId="0" borderId="32" xfId="1" applyFont="1" applyFill="1" applyBorder="1" applyAlignment="1">
      <alignment vertical="center"/>
    </xf>
    <xf numFmtId="4" fontId="79" fillId="0" borderId="32" xfId="3" applyNumberFormat="1" applyFont="1" applyFill="1" applyBorder="1" applyAlignment="1">
      <alignment vertical="center"/>
    </xf>
    <xf numFmtId="43" fontId="74" fillId="0" borderId="32" xfId="1" applyFont="1" applyFill="1" applyBorder="1" applyAlignment="1">
      <alignment horizontal="center" vertical="center"/>
    </xf>
    <xf numFmtId="10" fontId="74" fillId="0" borderId="32" xfId="1" applyNumberFormat="1" applyFont="1" applyFill="1" applyBorder="1" applyAlignment="1">
      <alignment horizontal="center" vertical="center"/>
    </xf>
    <xf numFmtId="4" fontId="81" fillId="0" borderId="32" xfId="3" applyNumberFormat="1" applyFont="1" applyFill="1" applyBorder="1" applyAlignment="1">
      <alignment vertical="center"/>
    </xf>
    <xf numFmtId="0" fontId="76" fillId="0" borderId="33" xfId="0" applyFont="1" applyBorder="1" applyAlignment="1">
      <alignment horizontal="left" vertical="center"/>
    </xf>
    <xf numFmtId="43" fontId="74" fillId="0" borderId="34" xfId="1" applyFont="1" applyFill="1" applyBorder="1" applyAlignment="1">
      <alignment horizontal="center" vertical="center"/>
    </xf>
    <xf numFmtId="10" fontId="78" fillId="0" borderId="34" xfId="1" applyNumberFormat="1" applyFont="1" applyFill="1" applyBorder="1" applyAlignment="1">
      <alignment horizontal="center" vertical="center"/>
    </xf>
    <xf numFmtId="10" fontId="78" fillId="0" borderId="32" xfId="1" applyNumberFormat="1" applyFont="1" applyFill="1" applyBorder="1" applyAlignment="1">
      <alignment horizontal="center" vertical="center"/>
    </xf>
    <xf numFmtId="43" fontId="74" fillId="0" borderId="35" xfId="1" applyFont="1" applyFill="1" applyBorder="1" applyAlignment="1">
      <alignment horizontal="center" vertical="center"/>
    </xf>
    <xf numFmtId="10" fontId="74" fillId="0" borderId="35" xfId="1" applyNumberFormat="1" applyFont="1" applyFill="1" applyBorder="1" applyAlignment="1">
      <alignment horizontal="center" vertical="center"/>
    </xf>
    <xf numFmtId="43" fontId="74" fillId="0" borderId="30" xfId="1" applyFont="1" applyFill="1" applyBorder="1" applyAlignment="1">
      <alignment horizontal="center" vertical="center"/>
    </xf>
    <xf numFmtId="0" fontId="74" fillId="0" borderId="36" xfId="0" applyFont="1" applyBorder="1" applyAlignment="1">
      <alignment vertical="center"/>
    </xf>
    <xf numFmtId="10" fontId="74" fillId="0" borderId="0" xfId="1" applyNumberFormat="1" applyFont="1" applyFill="1" applyAlignment="1">
      <alignment horizontal="center" vertical="center"/>
    </xf>
    <xf numFmtId="43" fontId="74" fillId="2" borderId="31" xfId="1" applyFont="1" applyFill="1" applyBorder="1" applyAlignment="1">
      <alignment horizontal="center" vertical="center"/>
    </xf>
    <xf numFmtId="43" fontId="31" fillId="9" borderId="0" xfId="1" applyFont="1" applyFill="1" applyBorder="1"/>
    <xf numFmtId="188" fontId="31" fillId="9" borderId="21" xfId="1" applyNumberFormat="1" applyFont="1" applyFill="1" applyBorder="1"/>
    <xf numFmtId="0" fontId="57" fillId="2" borderId="0" xfId="0" applyFont="1" applyFill="1" applyAlignment="1">
      <alignment horizontal="center" vertical="center"/>
    </xf>
    <xf numFmtId="0" fontId="44" fillId="2" borderId="0" xfId="0" applyFont="1" applyFill="1"/>
    <xf numFmtId="0" fontId="48" fillId="0" borderId="0" xfId="0" applyFont="1" applyAlignment="1">
      <alignment vertical="center"/>
    </xf>
    <xf numFmtId="0" fontId="56" fillId="10" borderId="0" xfId="0" applyFont="1" applyFill="1" applyAlignment="1">
      <alignment horizontal="center"/>
    </xf>
    <xf numFmtId="4" fontId="56" fillId="10" borderId="9" xfId="0" applyNumberFormat="1" applyFont="1" applyFill="1" applyBorder="1"/>
    <xf numFmtId="0" fontId="56" fillId="10" borderId="8" xfId="0" applyFont="1" applyFill="1" applyBorder="1" applyAlignment="1">
      <alignment horizontal="center"/>
    </xf>
    <xf numFmtId="0" fontId="44" fillId="10" borderId="0" xfId="0" applyFont="1" applyFill="1"/>
    <xf numFmtId="43" fontId="85" fillId="0" borderId="0" xfId="1" applyFont="1" applyBorder="1" applyAlignment="1">
      <alignment horizontal="left" vertical="center"/>
    </xf>
    <xf numFmtId="0" fontId="86" fillId="0" borderId="9" xfId="0" applyFont="1" applyBorder="1"/>
    <xf numFmtId="4" fontId="86" fillId="0" borderId="9" xfId="0" applyNumberFormat="1" applyFont="1" applyBorder="1"/>
    <xf numFmtId="0" fontId="1" fillId="0" borderId="9" xfId="0" applyFont="1" applyBorder="1"/>
    <xf numFmtId="0" fontId="85" fillId="2" borderId="0" xfId="0" applyFont="1" applyFill="1" applyAlignment="1">
      <alignment horizontal="left"/>
    </xf>
    <xf numFmtId="43" fontId="67" fillId="0" borderId="9" xfId="1" applyFont="1" applyBorder="1" applyAlignment="1">
      <alignment horizontal="left" vertical="center"/>
    </xf>
    <xf numFmtId="4" fontId="84" fillId="2" borderId="0" xfId="0" applyNumberFormat="1" applyFont="1" applyFill="1"/>
    <xf numFmtId="4" fontId="84" fillId="0" borderId="9" xfId="0" applyNumberFormat="1" applyFont="1" applyBorder="1"/>
    <xf numFmtId="0" fontId="20" fillId="0" borderId="0" xfId="0" applyFont="1"/>
    <xf numFmtId="4" fontId="20" fillId="0" borderId="0" xfId="0" applyNumberFormat="1" applyFont="1"/>
    <xf numFmtId="4" fontId="31" fillId="0" borderId="0" xfId="0" applyNumberFormat="1" applyFont="1"/>
    <xf numFmtId="0" fontId="89" fillId="0" borderId="8" xfId="0" applyFont="1" applyBorder="1" applyAlignment="1">
      <alignment horizontal="left"/>
    </xf>
    <xf numFmtId="0" fontId="89" fillId="0" borderId="8" xfId="0" applyFont="1" applyBorder="1" applyAlignment="1">
      <alignment horizontal="left" vertical="center"/>
    </xf>
    <xf numFmtId="0" fontId="20" fillId="0" borderId="8" xfId="0" applyFont="1" applyBorder="1"/>
    <xf numFmtId="0" fontId="89" fillId="0" borderId="8" xfId="0" applyFont="1" applyBorder="1"/>
    <xf numFmtId="0" fontId="89" fillId="0" borderId="13" xfId="0" applyFont="1" applyBorder="1"/>
    <xf numFmtId="0" fontId="20" fillId="9" borderId="0" xfId="0" applyFont="1" applyFill="1"/>
    <xf numFmtId="0" fontId="90" fillId="2" borderId="8" xfId="0" applyFont="1" applyFill="1" applyBorder="1"/>
    <xf numFmtId="43" fontId="90" fillId="2" borderId="9" xfId="1" applyFont="1" applyFill="1" applyBorder="1" applyAlignment="1">
      <alignment horizontal="left" vertical="center"/>
    </xf>
    <xf numFmtId="4" fontId="91" fillId="2" borderId="0" xfId="0" applyNumberFormat="1" applyFont="1" applyFill="1"/>
    <xf numFmtId="4" fontId="88" fillId="0" borderId="9" xfId="0" applyNumberFormat="1" applyFont="1" applyBorder="1"/>
    <xf numFmtId="4" fontId="91" fillId="0" borderId="0" xfId="0" applyNumberFormat="1" applyFont="1"/>
    <xf numFmtId="4" fontId="91" fillId="0" borderId="14" xfId="0" applyNumberFormat="1" applyFont="1" applyBorder="1"/>
    <xf numFmtId="4" fontId="87" fillId="2" borderId="9" xfId="0" applyNumberFormat="1" applyFont="1" applyFill="1" applyBorder="1"/>
    <xf numFmtId="43" fontId="90" fillId="0" borderId="9" xfId="1" applyFont="1" applyFill="1" applyBorder="1" applyAlignment="1">
      <alignment horizontal="left" vertical="center"/>
    </xf>
    <xf numFmtId="43" fontId="10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2" borderId="1" xfId="0" applyFont="1" applyFill="1" applyBorder="1"/>
    <xf numFmtId="43" fontId="12" fillId="2" borderId="1" xfId="1" applyFont="1" applyFill="1" applyBorder="1"/>
    <xf numFmtId="0" fontId="93" fillId="0" borderId="0" xfId="0" applyFont="1"/>
    <xf numFmtId="0" fontId="92" fillId="0" borderId="29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/>
    </xf>
    <xf numFmtId="0" fontId="93" fillId="2" borderId="1" xfId="0" applyFont="1" applyFill="1" applyBorder="1" applyAlignment="1">
      <alignment horizontal="center" vertical="top"/>
    </xf>
    <xf numFmtId="0" fontId="92" fillId="2" borderId="1" xfId="0" applyFont="1" applyFill="1" applyBorder="1" applyAlignment="1">
      <alignment vertical="top"/>
    </xf>
    <xf numFmtId="0" fontId="92" fillId="2" borderId="31" xfId="0" applyFont="1" applyFill="1" applyBorder="1" applyAlignment="1">
      <alignment horizontal="center" vertical="center"/>
    </xf>
    <xf numFmtId="0" fontId="93" fillId="2" borderId="1" xfId="0" applyFont="1" applyFill="1" applyBorder="1"/>
    <xf numFmtId="0" fontId="94" fillId="2" borderId="1" xfId="0" applyFont="1" applyFill="1" applyBorder="1" applyAlignment="1">
      <alignment horizontal="left"/>
    </xf>
    <xf numFmtId="0" fontId="93" fillId="2" borderId="1" xfId="0" applyFont="1" applyFill="1" applyBorder="1" applyAlignment="1">
      <alignment wrapText="1"/>
    </xf>
    <xf numFmtId="0" fontId="93" fillId="2" borderId="0" xfId="0" applyFont="1" applyFill="1"/>
    <xf numFmtId="0" fontId="93" fillId="0" borderId="1" xfId="0" applyFont="1" applyBorder="1" applyAlignment="1">
      <alignment horizontal="center" vertical="top"/>
    </xf>
    <xf numFmtId="0" fontId="93" fillId="0" borderId="1" xfId="0" applyFont="1" applyBorder="1" applyAlignment="1">
      <alignment vertical="top"/>
    </xf>
    <xf numFmtId="43" fontId="93" fillId="0" borderId="1" xfId="1" applyFont="1" applyFill="1" applyBorder="1"/>
    <xf numFmtId="0" fontId="93" fillId="0" borderId="1" xfId="0" applyFont="1" applyBorder="1"/>
    <xf numFmtId="0" fontId="94" fillId="0" borderId="1" xfId="0" applyFont="1" applyBorder="1" applyAlignment="1">
      <alignment horizontal="left"/>
    </xf>
    <xf numFmtId="0" fontId="93" fillId="0" borderId="1" xfId="0" applyFont="1" applyBorder="1" applyAlignment="1">
      <alignment wrapText="1"/>
    </xf>
    <xf numFmtId="43" fontId="93" fillId="0" borderId="1" xfId="1" applyFont="1" applyFill="1" applyBorder="1" applyAlignment="1">
      <alignment horizontal="left"/>
    </xf>
    <xf numFmtId="0" fontId="93" fillId="0" borderId="1" xfId="0" applyFont="1" applyBorder="1" applyAlignment="1">
      <alignment horizontal="left" vertical="top"/>
    </xf>
    <xf numFmtId="43" fontId="93" fillId="0" borderId="1" xfId="1" applyFont="1" applyBorder="1"/>
    <xf numFmtId="43" fontId="93" fillId="0" borderId="1" xfId="1" applyFont="1" applyBorder="1" applyAlignment="1">
      <alignment horizontal="left"/>
    </xf>
    <xf numFmtId="43" fontId="93" fillId="0" borderId="1" xfId="1" applyFont="1" applyBorder="1" applyAlignment="1">
      <alignment vertical="top"/>
    </xf>
    <xf numFmtId="43" fontId="93" fillId="0" borderId="1" xfId="0" applyNumberFormat="1" applyFont="1" applyBorder="1" applyAlignment="1">
      <alignment vertical="top"/>
    </xf>
    <xf numFmtId="43" fontId="93" fillId="0" borderId="1" xfId="1" applyFont="1" applyBorder="1" applyAlignment="1">
      <alignment horizontal="left" vertical="top"/>
    </xf>
    <xf numFmtId="0" fontId="93" fillId="0" borderId="1" xfId="0" applyFont="1" applyBorder="1" applyAlignment="1">
      <alignment vertical="top" wrapText="1"/>
    </xf>
    <xf numFmtId="0" fontId="93" fillId="0" borderId="0" xfId="0" applyFont="1" applyAlignment="1">
      <alignment vertical="top"/>
    </xf>
    <xf numFmtId="43" fontId="93" fillId="0" borderId="1" xfId="0" applyNumberFormat="1" applyFont="1" applyBorder="1"/>
    <xf numFmtId="0" fontId="93" fillId="0" borderId="1" xfId="0" applyFont="1" applyBorder="1" applyAlignment="1">
      <alignment horizontal="left"/>
    </xf>
    <xf numFmtId="43" fontId="93" fillId="0" borderId="1" xfId="1" applyFont="1" applyFill="1" applyBorder="1" applyAlignment="1">
      <alignment vertical="top"/>
    </xf>
    <xf numFmtId="0" fontId="95" fillId="2" borderId="1" xfId="0" applyFont="1" applyFill="1" applyBorder="1" applyAlignment="1">
      <alignment horizontal="center" vertical="top"/>
    </xf>
    <xf numFmtId="0" fontId="95" fillId="2" borderId="1" xfId="0" applyFont="1" applyFill="1" applyBorder="1" applyAlignment="1">
      <alignment vertical="top"/>
    </xf>
    <xf numFmtId="43" fontId="95" fillId="2" borderId="1" xfId="0" applyNumberFormat="1" applyFont="1" applyFill="1" applyBorder="1"/>
    <xf numFmtId="43" fontId="95" fillId="2" borderId="1" xfId="1" applyFont="1" applyFill="1" applyBorder="1"/>
    <xf numFmtId="0" fontId="95" fillId="2" borderId="31" xfId="0" applyFont="1" applyFill="1" applyBorder="1" applyAlignment="1">
      <alignment horizontal="center" vertical="center"/>
    </xf>
    <xf numFmtId="0" fontId="96" fillId="2" borderId="1" xfId="0" applyFont="1" applyFill="1" applyBorder="1" applyAlignment="1">
      <alignment horizontal="left"/>
    </xf>
    <xf numFmtId="0" fontId="95" fillId="2" borderId="1" xfId="0" applyFont="1" applyFill="1" applyBorder="1" applyAlignment="1">
      <alignment wrapText="1"/>
    </xf>
    <xf numFmtId="0" fontId="95" fillId="2" borderId="0" xfId="0" applyFont="1" applyFill="1"/>
    <xf numFmtId="0" fontId="94" fillId="0" borderId="2" xfId="0" applyFont="1" applyBorder="1" applyAlignment="1">
      <alignment horizontal="left"/>
    </xf>
    <xf numFmtId="43" fontId="93" fillId="9" borderId="1" xfId="0" applyNumberFormat="1" applyFont="1" applyFill="1" applyBorder="1"/>
    <xf numFmtId="43" fontId="93" fillId="0" borderId="2" xfId="1" applyFont="1" applyFill="1" applyBorder="1" applyAlignment="1">
      <alignment wrapText="1"/>
    </xf>
    <xf numFmtId="0" fontId="93" fillId="0" borderId="3" xfId="0" applyFont="1" applyBorder="1"/>
    <xf numFmtId="0" fontId="93" fillId="0" borderId="37" xfId="0" applyFont="1" applyBorder="1"/>
    <xf numFmtId="43" fontId="97" fillId="0" borderId="1" xfId="1" applyFont="1" applyBorder="1"/>
    <xf numFmtId="4" fontId="93" fillId="0" borderId="1" xfId="0" applyNumberFormat="1" applyFont="1" applyBorder="1"/>
    <xf numFmtId="0" fontId="93" fillId="0" borderId="2" xfId="0" applyFont="1" applyBorder="1"/>
    <xf numFmtId="43" fontId="92" fillId="0" borderId="2" xfId="1" applyFont="1" applyBorder="1" applyAlignment="1"/>
    <xf numFmtId="0" fontId="92" fillId="0" borderId="1" xfId="0" applyFont="1" applyBorder="1"/>
    <xf numFmtId="0" fontId="92" fillId="0" borderId="3" xfId="0" applyFont="1" applyBorder="1" applyAlignment="1">
      <alignment wrapText="1"/>
    </xf>
    <xf numFmtId="0" fontId="93" fillId="0" borderId="0" xfId="0" applyFont="1" applyAlignment="1">
      <alignment horizontal="center" vertical="top"/>
    </xf>
    <xf numFmtId="0" fontId="92" fillId="0" borderId="0" xfId="0" applyFont="1" applyAlignment="1">
      <alignment vertical="top"/>
    </xf>
    <xf numFmtId="0" fontId="92" fillId="0" borderId="0" xfId="0" applyFont="1" applyAlignment="1">
      <alignment horizontal="center"/>
    </xf>
    <xf numFmtId="43" fontId="93" fillId="0" borderId="0" xfId="0" applyNumberFormat="1" applyFont="1" applyAlignment="1">
      <alignment horizontal="left"/>
    </xf>
    <xf numFmtId="0" fontId="92" fillId="0" borderId="0" xfId="0" applyFont="1" applyAlignment="1">
      <alignment horizontal="left"/>
    </xf>
    <xf numFmtId="0" fontId="93" fillId="0" borderId="0" xfId="0" applyFont="1" applyAlignment="1">
      <alignment horizontal="left"/>
    </xf>
    <xf numFmtId="0" fontId="93" fillId="0" borderId="0" xfId="0" applyFont="1" applyAlignment="1">
      <alignment wrapText="1"/>
    </xf>
    <xf numFmtId="0" fontId="98" fillId="0" borderId="1" xfId="0" applyFont="1" applyBorder="1" applyAlignment="1">
      <alignment horizontal="right" vertical="top"/>
    </xf>
    <xf numFmtId="43" fontId="98" fillId="0" borderId="1" xfId="0" applyNumberFormat="1" applyFont="1" applyBorder="1"/>
    <xf numFmtId="43" fontId="98" fillId="0" borderId="2" xfId="1" applyFont="1" applyBorder="1" applyAlignment="1"/>
    <xf numFmtId="43" fontId="98" fillId="2" borderId="0" xfId="0" applyNumberFormat="1" applyFont="1" applyFill="1" applyAlignment="1">
      <alignment horizontal="center"/>
    </xf>
    <xf numFmtId="43" fontId="93" fillId="0" borderId="0" xfId="1" applyFont="1" applyFill="1" applyBorder="1"/>
    <xf numFmtId="43" fontId="93" fillId="0" borderId="0" xfId="1" applyFont="1" applyBorder="1"/>
    <xf numFmtId="43" fontId="93" fillId="0" borderId="0" xfId="1" applyFont="1" applyBorder="1" applyAlignment="1">
      <alignment vertical="top"/>
    </xf>
    <xf numFmtId="43" fontId="93" fillId="0" borderId="0" xfId="0" applyNumberFormat="1" applyFont="1"/>
    <xf numFmtId="0" fontId="99" fillId="0" borderId="0" xfId="0" applyFont="1" applyAlignment="1">
      <alignment vertical="top"/>
    </xf>
    <xf numFmtId="0" fontId="99" fillId="0" borderId="0" xfId="0" applyFont="1" applyAlignment="1">
      <alignment horizontal="left" vertical="top"/>
    </xf>
    <xf numFmtId="43" fontId="100" fillId="0" borderId="0" xfId="1" applyFont="1" applyFill="1" applyBorder="1" applyAlignment="1">
      <alignment vertical="center"/>
    </xf>
    <xf numFmtId="43" fontId="100" fillId="0" borderId="0" xfId="1" applyFont="1" applyBorder="1" applyAlignment="1">
      <alignment vertical="center"/>
    </xf>
    <xf numFmtId="43" fontId="100" fillId="0" borderId="0" xfId="0" applyNumberFormat="1" applyFont="1" applyAlignment="1">
      <alignment vertical="center"/>
    </xf>
    <xf numFmtId="0" fontId="72" fillId="0" borderId="0" xfId="0" applyFont="1"/>
    <xf numFmtId="191" fontId="26" fillId="0" borderId="0" xfId="0" applyNumberFormat="1" applyFont="1"/>
    <xf numFmtId="191" fontId="26" fillId="0" borderId="44" xfId="0" applyNumberFormat="1" applyFont="1" applyBorder="1" applyAlignment="1">
      <alignment vertical="center"/>
    </xf>
    <xf numFmtId="187" fontId="26" fillId="0" borderId="44" xfId="0" applyNumberFormat="1" applyFont="1" applyBorder="1" applyAlignment="1">
      <alignment vertical="center" shrinkToFit="1"/>
    </xf>
    <xf numFmtId="0" fontId="26" fillId="0" borderId="0" xfId="0" applyFont="1" applyAlignment="1">
      <alignment vertical="center"/>
    </xf>
    <xf numFmtId="4" fontId="105" fillId="2" borderId="9" xfId="0" applyNumberFormat="1" applyFont="1" applyFill="1" applyBorder="1"/>
    <xf numFmtId="4" fontId="85" fillId="0" borderId="0" xfId="0" applyNumberFormat="1" applyFont="1"/>
    <xf numFmtId="43" fontId="85" fillId="9" borderId="0" xfId="1" applyFont="1" applyFill="1" applyBorder="1" applyAlignment="1">
      <alignment horizontal="left" vertical="center"/>
    </xf>
    <xf numFmtId="0" fontId="19" fillId="2" borderId="0" xfId="0" applyFont="1" applyFill="1"/>
    <xf numFmtId="4" fontId="93" fillId="0" borderId="0" xfId="0" applyNumberFormat="1" applyFont="1"/>
    <xf numFmtId="43" fontId="99" fillId="0" borderId="0" xfId="1" applyFont="1" applyBorder="1" applyAlignment="1">
      <alignment horizontal="left" vertical="top"/>
    </xf>
    <xf numFmtId="4" fontId="100" fillId="0" borderId="0" xfId="0" applyNumberFormat="1" applyFont="1"/>
    <xf numFmtId="0" fontId="21" fillId="0" borderId="0" xfId="0" applyFont="1" applyAlignment="1">
      <alignment horizontal="center"/>
    </xf>
    <xf numFmtId="43" fontId="66" fillId="9" borderId="0" xfId="0" applyNumberFormat="1" applyFont="1" applyFill="1"/>
    <xf numFmtId="0" fontId="16" fillId="9" borderId="0" xfId="0" applyFont="1" applyFill="1"/>
    <xf numFmtId="4" fontId="0" fillId="9" borderId="0" xfId="0" applyNumberFormat="1" applyFill="1"/>
    <xf numFmtId="0" fontId="3" fillId="9" borderId="0" xfId="0" applyFont="1" applyFill="1" applyAlignment="1">
      <alignment horizontal="center"/>
    </xf>
    <xf numFmtId="0" fontId="21" fillId="9" borderId="0" xfId="0" applyFont="1" applyFill="1" applyAlignment="1">
      <alignment horizontal="center"/>
    </xf>
    <xf numFmtId="4" fontId="10" fillId="9" borderId="0" xfId="0" applyNumberFormat="1" applyFont="1" applyFill="1"/>
    <xf numFmtId="4" fontId="14" fillId="9" borderId="0" xfId="0" applyNumberFormat="1" applyFont="1" applyFill="1"/>
    <xf numFmtId="0" fontId="34" fillId="9" borderId="0" xfId="0" applyFont="1" applyFill="1" applyAlignment="1">
      <alignment horizontal="center"/>
    </xf>
    <xf numFmtId="4" fontId="40" fillId="9" borderId="0" xfId="0" applyNumberFormat="1" applyFont="1" applyFill="1" applyAlignment="1">
      <alignment vertical="center"/>
    </xf>
    <xf numFmtId="3" fontId="41" fillId="9" borderId="0" xfId="0" applyNumberFormat="1" applyFont="1" applyFill="1"/>
    <xf numFmtId="0" fontId="33" fillId="9" borderId="0" xfId="0" applyFont="1" applyFill="1"/>
    <xf numFmtId="0" fontId="38" fillId="9" borderId="0" xfId="0" applyFont="1" applyFill="1"/>
    <xf numFmtId="0" fontId="16" fillId="9" borderId="1" xfId="0" applyFont="1" applyFill="1" applyBorder="1" applyAlignment="1">
      <alignment horizontal="center"/>
    </xf>
    <xf numFmtId="0" fontId="22" fillId="9" borderId="1" xfId="0" applyFont="1" applyFill="1" applyBorder="1" applyAlignment="1">
      <alignment vertical="center"/>
    </xf>
    <xf numFmtId="0" fontId="22" fillId="9" borderId="1" xfId="0" applyFont="1" applyFill="1" applyBorder="1"/>
    <xf numFmtId="0" fontId="102" fillId="9" borderId="0" xfId="0" applyFont="1" applyFill="1"/>
    <xf numFmtId="43" fontId="106" fillId="9" borderId="0" xfId="1" applyFont="1" applyFill="1" applyBorder="1"/>
    <xf numFmtId="0" fontId="84" fillId="9" borderId="0" xfId="0" applyFont="1" applyFill="1"/>
    <xf numFmtId="4" fontId="40" fillId="9" borderId="1" xfId="0" applyNumberFormat="1" applyFont="1" applyFill="1" applyBorder="1" applyAlignment="1">
      <alignment vertical="center"/>
    </xf>
    <xf numFmtId="4" fontId="105" fillId="9" borderId="1" xfId="0" applyNumberFormat="1" applyFont="1" applyFill="1" applyBorder="1"/>
    <xf numFmtId="4" fontId="16" fillId="9" borderId="1" xfId="0" applyNumberFormat="1" applyFont="1" applyFill="1" applyBorder="1" applyAlignment="1">
      <alignment vertical="center"/>
    </xf>
    <xf numFmtId="0" fontId="107" fillId="9" borderId="0" xfId="0" applyFont="1" applyFill="1"/>
    <xf numFmtId="0" fontId="34" fillId="9" borderId="0" xfId="0" applyFont="1" applyFill="1"/>
    <xf numFmtId="4" fontId="100" fillId="0" borderId="0" xfId="1" applyNumberFormat="1" applyFont="1" applyFill="1" applyBorder="1" applyAlignment="1">
      <alignment vertical="center"/>
    </xf>
    <xf numFmtId="4" fontId="100" fillId="0" borderId="0" xfId="1" applyNumberFormat="1" applyFont="1" applyBorder="1" applyAlignment="1">
      <alignment vertical="center"/>
    </xf>
    <xf numFmtId="4" fontId="100" fillId="0" borderId="0" xfId="0" applyNumberFormat="1" applyFont="1" applyAlignment="1">
      <alignment vertical="center"/>
    </xf>
    <xf numFmtId="4" fontId="100" fillId="9" borderId="0" xfId="0" applyNumberFormat="1" applyFont="1" applyFill="1"/>
    <xf numFmtId="0" fontId="31" fillId="9" borderId="0" xfId="0" applyFont="1" applyFill="1" applyAlignment="1">
      <alignment horizontal="left"/>
    </xf>
    <xf numFmtId="0" fontId="15" fillId="9" borderId="0" xfId="0" applyFont="1" applyFill="1" applyAlignment="1">
      <alignment horizontal="left"/>
    </xf>
    <xf numFmtId="0" fontId="21" fillId="9" borderId="0" xfId="0" applyFont="1" applyFill="1"/>
    <xf numFmtId="0" fontId="22" fillId="9" borderId="0" xfId="0" applyFont="1" applyFill="1"/>
    <xf numFmtId="0" fontId="22" fillId="9" borderId="0" xfId="0" applyFont="1" applyFill="1" applyAlignment="1">
      <alignment horizontal="left"/>
    </xf>
    <xf numFmtId="3" fontId="11" fillId="9" borderId="0" xfId="0" applyNumberFormat="1" applyFont="1" applyFill="1"/>
    <xf numFmtId="0" fontId="6" fillId="9" borderId="0" xfId="0" applyFont="1" applyFill="1"/>
    <xf numFmtId="0" fontId="3" fillId="9" borderId="0" xfId="0" applyFont="1" applyFill="1"/>
    <xf numFmtId="0" fontId="15" fillId="9" borderId="0" xfId="0" applyFont="1" applyFill="1" applyAlignment="1">
      <alignment horizontal="right"/>
    </xf>
    <xf numFmtId="4" fontId="101" fillId="9" borderId="0" xfId="0" applyNumberFormat="1" applyFont="1" applyFill="1"/>
    <xf numFmtId="4" fontId="107" fillId="9" borderId="0" xfId="0" applyNumberFormat="1" applyFont="1" applyFill="1"/>
    <xf numFmtId="4" fontId="31" fillId="9" borderId="1" xfId="0" applyNumberFormat="1" applyFont="1" applyFill="1" applyBorder="1"/>
    <xf numFmtId="0" fontId="84" fillId="0" borderId="0" xfId="0" applyFont="1"/>
    <xf numFmtId="0" fontId="109" fillId="0" borderId="0" xfId="0" applyFont="1" applyAlignment="1">
      <alignment horizontal="left" vertical="center"/>
    </xf>
    <xf numFmtId="43" fontId="105" fillId="9" borderId="0" xfId="1" applyFont="1" applyFill="1" applyBorder="1"/>
    <xf numFmtId="43" fontId="67" fillId="9" borderId="9" xfId="1" applyFont="1" applyFill="1" applyBorder="1" applyAlignment="1">
      <alignment horizontal="left" vertical="center"/>
    </xf>
    <xf numFmtId="43" fontId="44" fillId="0" borderId="0" xfId="0" applyNumberFormat="1" applyFont="1"/>
    <xf numFmtId="43" fontId="85" fillId="0" borderId="0" xfId="1" applyFont="1" applyFill="1" applyBorder="1" applyAlignment="1">
      <alignment horizontal="left" vertical="center"/>
    </xf>
    <xf numFmtId="4" fontId="1" fillId="0" borderId="0" xfId="0" applyNumberFormat="1" applyFont="1"/>
    <xf numFmtId="0" fontId="17" fillId="0" borderId="0" xfId="0" applyFont="1" applyAlignment="1">
      <alignment horizontal="left"/>
    </xf>
    <xf numFmtId="43" fontId="17" fillId="0" borderId="0" xfId="1" applyFont="1" applyFill="1" applyBorder="1"/>
    <xf numFmtId="43" fontId="108" fillId="0" borderId="0" xfId="1" applyFont="1" applyFill="1" applyBorder="1" applyAlignment="1">
      <alignment horizontal="center"/>
    </xf>
    <xf numFmtId="43" fontId="40" fillId="0" borderId="0" xfId="1" applyFont="1" applyFill="1" applyBorder="1"/>
    <xf numFmtId="0" fontId="89" fillId="9" borderId="0" xfId="0" applyFont="1" applyFill="1" applyAlignment="1">
      <alignment horizontal="center"/>
    </xf>
    <xf numFmtId="191" fontId="72" fillId="0" borderId="0" xfId="0" applyNumberFormat="1" applyFont="1"/>
    <xf numFmtId="187" fontId="72" fillId="0" borderId="0" xfId="0" applyNumberFormat="1" applyFont="1" applyAlignment="1">
      <alignment vertical="center" shrinkToFit="1"/>
    </xf>
    <xf numFmtId="191" fontId="26" fillId="0" borderId="44" xfId="0" applyNumberFormat="1" applyFont="1" applyBorder="1" applyAlignment="1">
      <alignment shrinkToFit="1"/>
    </xf>
    <xf numFmtId="191" fontId="72" fillId="0" borderId="44" xfId="0" applyNumberFormat="1" applyFont="1" applyBorder="1" applyAlignment="1">
      <alignment shrinkToFit="1"/>
    </xf>
    <xf numFmtId="191" fontId="26" fillId="0" borderId="41" xfId="0" applyNumberFormat="1" applyFont="1" applyBorder="1" applyAlignment="1">
      <alignment horizontal="right" vertical="top" shrinkToFit="1"/>
    </xf>
    <xf numFmtId="0" fontId="92" fillId="5" borderId="29" xfId="0" applyFont="1" applyFill="1" applyBorder="1" applyAlignment="1">
      <alignment horizontal="center" vertical="center"/>
    </xf>
    <xf numFmtId="0" fontId="92" fillId="5" borderId="29" xfId="0" applyFont="1" applyFill="1" applyBorder="1" applyAlignment="1">
      <alignment horizontal="center" vertical="center" wrapText="1"/>
    </xf>
    <xf numFmtId="0" fontId="92" fillId="0" borderId="31" xfId="0" applyFont="1" applyBorder="1" applyAlignment="1">
      <alignment horizontal="center" vertical="center"/>
    </xf>
    <xf numFmtId="0" fontId="92" fillId="5" borderId="1" xfId="0" applyFont="1" applyFill="1" applyBorder="1" applyAlignment="1">
      <alignment horizontal="center" vertical="center"/>
    </xf>
    <xf numFmtId="0" fontId="95" fillId="0" borderId="1" xfId="0" applyFont="1" applyBorder="1" applyAlignment="1">
      <alignment horizontal="center" vertical="top"/>
    </xf>
    <xf numFmtId="43" fontId="95" fillId="0" borderId="1" xfId="1" applyFont="1" applyFill="1" applyBorder="1"/>
    <xf numFmtId="0" fontId="95" fillId="0" borderId="31" xfId="0" applyFont="1" applyBorder="1" applyAlignment="1">
      <alignment horizontal="center" vertical="center"/>
    </xf>
    <xf numFmtId="0" fontId="96" fillId="0" borderId="1" xfId="0" applyFont="1" applyBorder="1" applyAlignment="1">
      <alignment horizontal="left"/>
    </xf>
    <xf numFmtId="0" fontId="95" fillId="0" borderId="1" xfId="0" applyFont="1" applyBorder="1" applyAlignment="1">
      <alignment wrapText="1"/>
    </xf>
    <xf numFmtId="0" fontId="95" fillId="0" borderId="0" xfId="0" applyFont="1"/>
    <xf numFmtId="4" fontId="93" fillId="0" borderId="1" xfId="0" applyNumberFormat="1" applyFont="1" applyBorder="1" applyAlignment="1">
      <alignment vertical="top"/>
    </xf>
    <xf numFmtId="0" fontId="112" fillId="0" borderId="0" xfId="0" applyFont="1"/>
    <xf numFmtId="0" fontId="92" fillId="0" borderId="20" xfId="0" applyFont="1" applyBorder="1"/>
    <xf numFmtId="43" fontId="92" fillId="0" borderId="2" xfId="1" applyFont="1" applyFill="1" applyBorder="1" applyAlignment="1"/>
    <xf numFmtId="43" fontId="92" fillId="0" borderId="3" xfId="1" applyFont="1" applyFill="1" applyBorder="1" applyAlignment="1"/>
    <xf numFmtId="0" fontId="92" fillId="0" borderId="0" xfId="0" applyFont="1" applyAlignment="1">
      <alignment horizontal="center" vertical="top"/>
    </xf>
    <xf numFmtId="0" fontId="100" fillId="0" borderId="1" xfId="0" applyFont="1" applyBorder="1" applyAlignment="1">
      <alignment vertical="top"/>
    </xf>
    <xf numFmtId="0" fontId="100" fillId="0" borderId="1" xfId="0" applyFont="1" applyBorder="1" applyAlignment="1">
      <alignment horizontal="left" vertical="top"/>
    </xf>
    <xf numFmtId="43" fontId="100" fillId="0" borderId="1" xfId="1" applyFont="1" applyBorder="1" applyAlignment="1">
      <alignment horizontal="left" vertical="top"/>
    </xf>
    <xf numFmtId="4" fontId="95" fillId="0" borderId="1" xfId="0" applyNumberFormat="1" applyFont="1" applyBorder="1" applyAlignment="1">
      <alignment vertical="top"/>
    </xf>
    <xf numFmtId="4" fontId="93" fillId="0" borderId="1" xfId="0" applyNumberFormat="1" applyFont="1" applyBorder="1" applyAlignment="1">
      <alignment horizontal="center" vertical="top"/>
    </xf>
    <xf numFmtId="0" fontId="110" fillId="0" borderId="1" xfId="0" applyFont="1" applyBorder="1" applyAlignment="1">
      <alignment vertical="top"/>
    </xf>
    <xf numFmtId="4" fontId="110" fillId="0" borderId="1" xfId="0" applyNumberFormat="1" applyFont="1" applyBorder="1" applyAlignment="1">
      <alignment vertical="top"/>
    </xf>
    <xf numFmtId="43" fontId="93" fillId="9" borderId="1" xfId="0" applyNumberFormat="1" applyFont="1" applyFill="1" applyBorder="1" applyAlignment="1">
      <alignment vertical="top"/>
    </xf>
    <xf numFmtId="43" fontId="93" fillId="0" borderId="2" xfId="1" applyFont="1" applyFill="1" applyBorder="1" applyAlignment="1">
      <alignment vertical="top" wrapText="1"/>
    </xf>
    <xf numFmtId="0" fontId="93" fillId="0" borderId="3" xfId="0" applyFont="1" applyBorder="1" applyAlignment="1">
      <alignment vertical="top"/>
    </xf>
    <xf numFmtId="0" fontId="93" fillId="0" borderId="37" xfId="0" applyFont="1" applyBorder="1" applyAlignment="1">
      <alignment vertical="top"/>
    </xf>
    <xf numFmtId="43" fontId="97" fillId="0" borderId="1" xfId="1" applyFont="1" applyBorder="1" applyAlignment="1">
      <alignment vertical="top"/>
    </xf>
    <xf numFmtId="4" fontId="110" fillId="0" borderId="0" xfId="0" applyNumberFormat="1" applyFont="1"/>
    <xf numFmtId="0" fontId="92" fillId="17" borderId="3" xfId="0" applyFont="1" applyFill="1" applyBorder="1" applyAlignment="1">
      <alignment horizontal="center" vertical="center"/>
    </xf>
    <xf numFmtId="0" fontId="95" fillId="0" borderId="3" xfId="0" applyFont="1" applyBorder="1"/>
    <xf numFmtId="43" fontId="93" fillId="0" borderId="3" xfId="0" applyNumberFormat="1" applyFont="1" applyBorder="1"/>
    <xf numFmtId="43" fontId="110" fillId="0" borderId="3" xfId="0" applyNumberFormat="1" applyFont="1" applyBorder="1"/>
    <xf numFmtId="0" fontId="112" fillId="0" borderId="0" xfId="0" applyFont="1" applyAlignment="1">
      <alignment horizontal="right"/>
    </xf>
    <xf numFmtId="0" fontId="92" fillId="0" borderId="20" xfId="0" applyFont="1" applyBorder="1" applyAlignment="1">
      <alignment horizontal="right"/>
    </xf>
    <xf numFmtId="0" fontId="113" fillId="5" borderId="1" xfId="0" applyFont="1" applyFill="1" applyBorder="1" applyAlignment="1">
      <alignment horizontal="right" vertical="center"/>
    </xf>
    <xf numFmtId="4" fontId="92" fillId="0" borderId="31" xfId="0" applyNumberFormat="1" applyFont="1" applyBorder="1" applyAlignment="1">
      <alignment horizontal="right" vertical="top"/>
    </xf>
    <xf numFmtId="4" fontId="93" fillId="0" borderId="1" xfId="0" applyNumberFormat="1" applyFont="1" applyBorder="1" applyAlignment="1">
      <alignment horizontal="right" vertical="top"/>
    </xf>
    <xf numFmtId="4" fontId="98" fillId="0" borderId="1" xfId="0" applyNumberFormat="1" applyFont="1" applyBorder="1" applyAlignment="1">
      <alignment horizontal="right" vertical="top"/>
    </xf>
    <xf numFmtId="4" fontId="95" fillId="0" borderId="1" xfId="0" applyNumberFormat="1" applyFont="1" applyBorder="1" applyAlignment="1">
      <alignment horizontal="right" vertical="top"/>
    </xf>
    <xf numFmtId="4" fontId="92" fillId="0" borderId="37" xfId="1" applyNumberFormat="1" applyFont="1" applyFill="1" applyBorder="1" applyAlignment="1">
      <alignment horizontal="right" vertical="top"/>
    </xf>
    <xf numFmtId="4" fontId="111" fillId="0" borderId="1" xfId="0" applyNumberFormat="1" applyFont="1" applyBorder="1" applyAlignment="1">
      <alignment horizontal="right" vertical="top"/>
    </xf>
    <xf numFmtId="4" fontId="111" fillId="0" borderId="3" xfId="0" applyNumberFormat="1" applyFont="1" applyBorder="1" applyAlignment="1">
      <alignment horizontal="right" vertical="top"/>
    </xf>
    <xf numFmtId="4" fontId="111" fillId="0" borderId="3" xfId="1" applyNumberFormat="1" applyFont="1" applyBorder="1" applyAlignment="1">
      <alignment horizontal="right" vertical="top"/>
    </xf>
    <xf numFmtId="4" fontId="111" fillId="0" borderId="37" xfId="1" applyNumberFormat="1" applyFont="1" applyBorder="1" applyAlignment="1">
      <alignment horizontal="right" vertical="top"/>
    </xf>
    <xf numFmtId="4" fontId="111" fillId="0" borderId="1" xfId="1" applyNumberFormat="1" applyFont="1" applyBorder="1" applyAlignment="1">
      <alignment horizontal="right" vertical="top"/>
    </xf>
    <xf numFmtId="4" fontId="93" fillId="0" borderId="1" xfId="1" applyNumberFormat="1" applyFont="1" applyBorder="1" applyAlignment="1">
      <alignment horizontal="right" vertical="top"/>
    </xf>
    <xf numFmtId="4" fontId="93" fillId="0" borderId="3" xfId="0" applyNumberFormat="1" applyFont="1" applyBorder="1" applyAlignment="1">
      <alignment horizontal="right" vertical="top"/>
    </xf>
    <xf numFmtId="4" fontId="93" fillId="0" borderId="3" xfId="1" applyNumberFormat="1" applyFont="1" applyBorder="1" applyAlignment="1">
      <alignment horizontal="right" vertical="top"/>
    </xf>
    <xf numFmtId="4" fontId="93" fillId="0" borderId="2" xfId="1" applyNumberFormat="1" applyFont="1" applyBorder="1" applyAlignment="1">
      <alignment horizontal="right" vertical="top"/>
    </xf>
    <xf numFmtId="4" fontId="93" fillId="0" borderId="2" xfId="0" applyNumberFormat="1" applyFont="1" applyBorder="1" applyAlignment="1">
      <alignment horizontal="right" vertical="top"/>
    </xf>
    <xf numFmtId="0" fontId="93" fillId="0" borderId="0" xfId="0" applyFont="1" applyAlignment="1">
      <alignment horizontal="right" vertical="top"/>
    </xf>
    <xf numFmtId="0" fontId="98" fillId="0" borderId="20" xfId="0" applyFont="1" applyBorder="1" applyAlignment="1">
      <alignment horizontal="right"/>
    </xf>
    <xf numFmtId="0" fontId="98" fillId="0" borderId="31" xfId="0" applyFont="1" applyBorder="1" applyAlignment="1">
      <alignment horizontal="right" vertical="center"/>
    </xf>
    <xf numFmtId="43" fontId="110" fillId="0" borderId="1" xfId="1" applyFont="1" applyFill="1" applyBorder="1" applyAlignment="1">
      <alignment horizontal="right"/>
    </xf>
    <xf numFmtId="43" fontId="110" fillId="0" borderId="1" xfId="1" applyFont="1" applyBorder="1" applyAlignment="1">
      <alignment horizontal="right"/>
    </xf>
    <xf numFmtId="43" fontId="110" fillId="0" borderId="1" xfId="1" applyFont="1" applyBorder="1" applyAlignment="1">
      <alignment horizontal="right" vertical="top"/>
    </xf>
    <xf numFmtId="43" fontId="110" fillId="0" borderId="1" xfId="0" applyNumberFormat="1" applyFont="1" applyBorder="1" applyAlignment="1">
      <alignment horizontal="right"/>
    </xf>
    <xf numFmtId="43" fontId="110" fillId="0" borderId="1" xfId="0" applyNumberFormat="1" applyFont="1" applyBorder="1" applyAlignment="1">
      <alignment horizontal="right" vertical="top"/>
    </xf>
    <xf numFmtId="43" fontId="104" fillId="0" borderId="1" xfId="0" applyNumberFormat="1" applyFont="1" applyBorder="1" applyAlignment="1">
      <alignment horizontal="right"/>
    </xf>
    <xf numFmtId="0" fontId="110" fillId="0" borderId="1" xfId="0" applyFont="1" applyBorder="1" applyAlignment="1">
      <alignment horizontal="right"/>
    </xf>
    <xf numFmtId="43" fontId="110" fillId="9" borderId="1" xfId="0" applyNumberFormat="1" applyFont="1" applyFill="1" applyBorder="1" applyAlignment="1">
      <alignment horizontal="right" vertical="top"/>
    </xf>
    <xf numFmtId="4" fontId="110" fillId="0" borderId="1" xfId="0" applyNumberFormat="1" applyFont="1" applyBorder="1" applyAlignment="1">
      <alignment horizontal="right"/>
    </xf>
    <xf numFmtId="4" fontId="110" fillId="0" borderId="1" xfId="0" applyNumberFormat="1" applyFont="1" applyBorder="1" applyAlignment="1">
      <alignment horizontal="right" vertical="top"/>
    </xf>
    <xf numFmtId="43" fontId="98" fillId="0" borderId="2" xfId="1" applyFont="1" applyBorder="1" applyAlignment="1">
      <alignment horizontal="right"/>
    </xf>
    <xf numFmtId="43" fontId="98" fillId="2" borderId="0" xfId="0" applyNumberFormat="1" applyFont="1" applyFill="1" applyAlignment="1">
      <alignment horizontal="right"/>
    </xf>
    <xf numFmtId="0" fontId="110" fillId="0" borderId="0" xfId="0" applyFont="1" applyAlignment="1">
      <alignment horizontal="right"/>
    </xf>
    <xf numFmtId="4" fontId="110" fillId="0" borderId="0" xfId="0" applyNumberFormat="1" applyFont="1" applyAlignment="1">
      <alignment horizontal="right"/>
    </xf>
    <xf numFmtId="4" fontId="114" fillId="0" borderId="1" xfId="0" applyNumberFormat="1" applyFont="1" applyBorder="1" applyAlignment="1">
      <alignment vertical="top"/>
    </xf>
    <xf numFmtId="43" fontId="110" fillId="0" borderId="3" xfId="0" applyNumberFormat="1" applyFont="1" applyBorder="1" applyAlignment="1">
      <alignment vertical="top"/>
    </xf>
    <xf numFmtId="43" fontId="114" fillId="0" borderId="1" xfId="0" applyNumberFormat="1" applyFont="1" applyBorder="1" applyAlignment="1">
      <alignment horizontal="right"/>
    </xf>
    <xf numFmtId="4" fontId="114" fillId="0" borderId="1" xfId="0" applyNumberFormat="1" applyFont="1" applyBorder="1" applyAlignment="1">
      <alignment horizontal="right"/>
    </xf>
    <xf numFmtId="4" fontId="114" fillId="0" borderId="1" xfId="0" applyNumberFormat="1" applyFont="1" applyBorder="1" applyAlignment="1">
      <alignment horizontal="right" vertical="top"/>
    </xf>
    <xf numFmtId="43" fontId="93" fillId="0" borderId="3" xfId="0" applyNumberFormat="1" applyFont="1" applyBorder="1" applyAlignment="1">
      <alignment vertical="top"/>
    </xf>
    <xf numFmtId="43" fontId="114" fillId="0" borderId="1" xfId="0" applyNumberFormat="1" applyFont="1" applyBorder="1" applyAlignment="1">
      <alignment horizontal="right" vertical="top"/>
    </xf>
    <xf numFmtId="0" fontId="115" fillId="2" borderId="0" xfId="0" applyFont="1" applyFill="1" applyAlignment="1">
      <alignment vertical="top"/>
    </xf>
    <xf numFmtId="43" fontId="65" fillId="0" borderId="0" xfId="1" applyFont="1" applyFill="1" applyBorder="1" applyAlignment="1">
      <alignment horizontal="center"/>
    </xf>
    <xf numFmtId="0" fontId="116" fillId="2" borderId="1" xfId="0" applyFont="1" applyFill="1" applyBorder="1" applyAlignment="1">
      <alignment vertical="top"/>
    </xf>
    <xf numFmtId="0" fontId="98" fillId="2" borderId="1" xfId="0" applyFont="1" applyFill="1" applyBorder="1" applyAlignment="1">
      <alignment vertical="top"/>
    </xf>
    <xf numFmtId="0" fontId="21" fillId="18" borderId="0" xfId="0" applyFont="1" applyFill="1" applyAlignment="1">
      <alignment horizontal="center"/>
    </xf>
    <xf numFmtId="0" fontId="99" fillId="18" borderId="0" xfId="0" applyFont="1" applyFill="1" applyAlignment="1">
      <alignment vertical="top"/>
    </xf>
    <xf numFmtId="43" fontId="93" fillId="18" borderId="0" xfId="1" applyFont="1" applyFill="1" applyBorder="1"/>
    <xf numFmtId="43" fontId="28" fillId="18" borderId="0" xfId="1" applyFont="1" applyFill="1" applyBorder="1"/>
    <xf numFmtId="43" fontId="100" fillId="18" borderId="0" xfId="1" applyFont="1" applyFill="1" applyBorder="1" applyAlignment="1">
      <alignment vertical="center"/>
    </xf>
    <xf numFmtId="0" fontId="99" fillId="18" borderId="0" xfId="0" applyFont="1" applyFill="1" applyAlignment="1">
      <alignment horizontal="left" vertical="top"/>
    </xf>
    <xf numFmtId="4" fontId="93" fillId="18" borderId="1" xfId="0" applyNumberFormat="1" applyFont="1" applyFill="1" applyBorder="1" applyAlignment="1">
      <alignment vertical="top"/>
    </xf>
    <xf numFmtId="4" fontId="92" fillId="18" borderId="1" xfId="0" applyNumberFormat="1" applyFont="1" applyFill="1" applyBorder="1" applyAlignment="1">
      <alignment vertical="top"/>
    </xf>
    <xf numFmtId="0" fontId="93" fillId="18" borderId="0" xfId="0" applyFont="1" applyFill="1"/>
    <xf numFmtId="0" fontId="34" fillId="0" borderId="0" xfId="0" applyFont="1" applyAlignment="1">
      <alignment horizontal="center"/>
    </xf>
    <xf numFmtId="43" fontId="23" fillId="0" borderId="0" xfId="1" applyFont="1"/>
    <xf numFmtId="0" fontId="57" fillId="9" borderId="9" xfId="0" applyFont="1" applyFill="1" applyBorder="1"/>
    <xf numFmtId="4" fontId="57" fillId="9" borderId="9" xfId="0" applyNumberFormat="1" applyFont="1" applyFill="1" applyBorder="1"/>
    <xf numFmtId="4" fontId="61" fillId="9" borderId="9" xfId="0" applyNumberFormat="1" applyFont="1" applyFill="1" applyBorder="1"/>
    <xf numFmtId="0" fontId="0" fillId="0" borderId="9" xfId="0" applyBorder="1"/>
    <xf numFmtId="3" fontId="118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0" fontId="90" fillId="2" borderId="0" xfId="0" applyFont="1" applyFill="1" applyAlignment="1">
      <alignment horizontal="left"/>
    </xf>
    <xf numFmtId="0" fontId="103" fillId="2" borderId="0" xfId="0" applyFont="1" applyFill="1"/>
    <xf numFmtId="3" fontId="41" fillId="2" borderId="0" xfId="0" applyNumberFormat="1" applyFont="1" applyFill="1"/>
    <xf numFmtId="0" fontId="105" fillId="2" borderId="0" xfId="0" applyFont="1" applyFill="1" applyAlignment="1">
      <alignment horizontal="left"/>
    </xf>
    <xf numFmtId="0" fontId="0" fillId="2" borderId="0" xfId="0" applyFill="1"/>
    <xf numFmtId="43" fontId="23" fillId="0" borderId="0" xfId="1" applyFont="1" applyFill="1" applyBorder="1"/>
    <xf numFmtId="43" fontId="0" fillId="9" borderId="0" xfId="0" applyNumberFormat="1" applyFill="1"/>
    <xf numFmtId="0" fontId="1" fillId="2" borderId="0" xfId="0" applyFont="1" applyFill="1" applyAlignment="1">
      <alignment horizontal="left"/>
    </xf>
    <xf numFmtId="43" fontId="0" fillId="0" borderId="0" xfId="1" applyFont="1" applyFill="1" applyBorder="1"/>
    <xf numFmtId="43" fontId="8" fillId="0" borderId="0" xfId="1" applyFont="1" applyFill="1" applyBorder="1"/>
    <xf numFmtId="0" fontId="0" fillId="0" borderId="19" xfId="0" applyBorder="1"/>
    <xf numFmtId="0" fontId="89" fillId="0" borderId="0" xfId="0" applyFont="1"/>
    <xf numFmtId="0" fontId="24" fillId="0" borderId="0" xfId="0" applyFont="1" applyAlignment="1">
      <alignment horizontal="left"/>
    </xf>
    <xf numFmtId="43" fontId="93" fillId="0" borderId="0" xfId="1" applyFont="1" applyAlignment="1">
      <alignment horizontal="center"/>
    </xf>
    <xf numFmtId="0" fontId="93" fillId="0" borderId="0" xfId="0" applyFont="1" applyAlignment="1">
      <alignment horizontal="center"/>
    </xf>
    <xf numFmtId="43" fontId="92" fillId="6" borderId="1" xfId="1" applyFont="1" applyFill="1" applyBorder="1" applyAlignment="1">
      <alignment horizontal="center" vertical="center"/>
    </xf>
    <xf numFmtId="0" fontId="92" fillId="6" borderId="1" xfId="0" applyFont="1" applyFill="1" applyBorder="1" applyAlignment="1">
      <alignment horizontal="center" vertical="center"/>
    </xf>
    <xf numFmtId="0" fontId="92" fillId="0" borderId="1" xfId="0" applyFont="1" applyBorder="1" applyAlignment="1">
      <alignment horizontal="center" vertical="center"/>
    </xf>
    <xf numFmtId="43" fontId="93" fillId="6" borderId="1" xfId="1" applyFont="1" applyFill="1" applyBorder="1" applyAlignment="1">
      <alignment horizontal="center"/>
    </xf>
    <xf numFmtId="0" fontId="93" fillId="6" borderId="1" xfId="0" applyFont="1" applyFill="1" applyBorder="1" applyAlignment="1">
      <alignment horizontal="center"/>
    </xf>
    <xf numFmtId="15" fontId="93" fillId="6" borderId="1" xfId="0" applyNumberFormat="1" applyFont="1" applyFill="1" applyBorder="1" applyAlignment="1">
      <alignment horizontal="center"/>
    </xf>
    <xf numFmtId="43" fontId="93" fillId="6" borderId="1" xfId="1" applyFont="1" applyFill="1" applyBorder="1" applyAlignment="1">
      <alignment horizontal="center" vertical="top"/>
    </xf>
    <xf numFmtId="0" fontId="93" fillId="6" borderId="1" xfId="0" applyFont="1" applyFill="1" applyBorder="1" applyAlignment="1">
      <alignment horizontal="center" vertical="top"/>
    </xf>
    <xf numFmtId="0" fontId="92" fillId="0" borderId="1" xfId="0" applyFont="1" applyBorder="1" applyAlignment="1">
      <alignment horizontal="right" vertical="top"/>
    </xf>
    <xf numFmtId="43" fontId="92" fillId="0" borderId="1" xfId="0" applyNumberFormat="1" applyFont="1" applyBorder="1"/>
    <xf numFmtId="43" fontId="93" fillId="9" borderId="1" xfId="1" applyFont="1" applyFill="1" applyBorder="1" applyAlignment="1">
      <alignment horizontal="center"/>
    </xf>
    <xf numFmtId="43" fontId="93" fillId="9" borderId="1" xfId="0" applyNumberFormat="1" applyFont="1" applyFill="1" applyBorder="1" applyAlignment="1">
      <alignment horizontal="center"/>
    </xf>
    <xf numFmtId="0" fontId="93" fillId="9" borderId="1" xfId="0" applyFont="1" applyFill="1" applyBorder="1" applyAlignment="1">
      <alignment horizontal="center"/>
    </xf>
    <xf numFmtId="43" fontId="95" fillId="6" borderId="1" xfId="1" applyFont="1" applyFill="1" applyBorder="1" applyAlignment="1">
      <alignment horizontal="center"/>
    </xf>
    <xf numFmtId="0" fontId="95" fillId="6" borderId="1" xfId="0" applyFont="1" applyFill="1" applyBorder="1" applyAlignment="1">
      <alignment horizontal="center"/>
    </xf>
    <xf numFmtId="0" fontId="95" fillId="2" borderId="1" xfId="0" applyFont="1" applyFill="1" applyBorder="1"/>
    <xf numFmtId="43" fontId="110" fillId="0" borderId="1" xfId="0" applyNumberFormat="1" applyFont="1" applyBorder="1"/>
    <xf numFmtId="0" fontId="110" fillId="2" borderId="1" xfId="0" applyFont="1" applyFill="1" applyBorder="1" applyAlignment="1">
      <alignment vertical="top"/>
    </xf>
    <xf numFmtId="43" fontId="93" fillId="19" borderId="1" xfId="1" applyFont="1" applyFill="1" applyBorder="1" applyAlignment="1">
      <alignment horizontal="left" vertical="top"/>
    </xf>
    <xf numFmtId="43" fontId="93" fillId="0" borderId="2" xfId="0" applyNumberFormat="1" applyFont="1" applyBorder="1"/>
    <xf numFmtId="0" fontId="93" fillId="0" borderId="3" xfId="0" applyFont="1" applyBorder="1" applyAlignment="1">
      <alignment wrapText="1"/>
    </xf>
    <xf numFmtId="0" fontId="93" fillId="0" borderId="2" xfId="0" applyFont="1" applyBorder="1" applyAlignment="1">
      <alignment horizontal="left"/>
    </xf>
    <xf numFmtId="0" fontId="93" fillId="0" borderId="37" xfId="0" applyFont="1" applyBorder="1" applyAlignment="1">
      <alignment wrapText="1"/>
    </xf>
    <xf numFmtId="43" fontId="92" fillId="0" borderId="1" xfId="1" applyFont="1" applyBorder="1" applyAlignment="1"/>
    <xf numFmtId="43" fontId="92" fillId="0" borderId="0" xfId="0" applyNumberFormat="1" applyFont="1" applyAlignment="1">
      <alignment horizontal="center"/>
    </xf>
    <xf numFmtId="0" fontId="93" fillId="2" borderId="1" xfId="0" applyFont="1" applyFill="1" applyBorder="1" applyAlignment="1">
      <alignment horizontal="center"/>
    </xf>
    <xf numFmtId="43" fontId="93" fillId="2" borderId="2" xfId="1" applyFont="1" applyFill="1" applyBorder="1" applyAlignment="1">
      <alignment horizontal="center"/>
    </xf>
    <xf numFmtId="43" fontId="93" fillId="2" borderId="2" xfId="0" applyNumberFormat="1" applyFont="1" applyFill="1" applyBorder="1"/>
    <xf numFmtId="0" fontId="93" fillId="2" borderId="2" xfId="0" applyFont="1" applyFill="1" applyBorder="1" applyAlignment="1">
      <alignment horizontal="center"/>
    </xf>
    <xf numFmtId="0" fontId="119" fillId="0" borderId="0" xfId="0" applyFont="1" applyAlignment="1">
      <alignment vertical="top"/>
    </xf>
    <xf numFmtId="4" fontId="120" fillId="9" borderId="0" xfId="1" applyNumberFormat="1" applyFont="1" applyFill="1" applyBorder="1"/>
    <xf numFmtId="4" fontId="120" fillId="0" borderId="0" xfId="1" applyNumberFormat="1" applyFont="1" applyFill="1" applyBorder="1" applyAlignment="1">
      <alignment vertical="center"/>
    </xf>
    <xf numFmtId="0" fontId="93" fillId="18" borderId="3" xfId="0" applyFont="1" applyFill="1" applyBorder="1"/>
    <xf numFmtId="0" fontId="98" fillId="21" borderId="1" xfId="0" applyFont="1" applyFill="1" applyBorder="1" applyAlignment="1">
      <alignment horizontal="center" vertical="center"/>
    </xf>
    <xf numFmtId="0" fontId="92" fillId="22" borderId="1" xfId="0" applyFont="1" applyFill="1" applyBorder="1" applyAlignment="1">
      <alignment horizontal="center" vertical="center"/>
    </xf>
    <xf numFmtId="0" fontId="92" fillId="23" borderId="1" xfId="0" applyFont="1" applyFill="1" applyBorder="1" applyAlignment="1">
      <alignment horizontal="center" vertical="center"/>
    </xf>
    <xf numFmtId="0" fontId="93" fillId="10" borderId="1" xfId="0" applyFont="1" applyFill="1" applyBorder="1" applyAlignment="1">
      <alignment horizontal="center" vertical="top"/>
    </xf>
    <xf numFmtId="0" fontId="93" fillId="10" borderId="1" xfId="0" applyFont="1" applyFill="1" applyBorder="1" applyAlignment="1">
      <alignment vertical="top"/>
    </xf>
    <xf numFmtId="0" fontId="93" fillId="20" borderId="1" xfId="0" applyFont="1" applyFill="1" applyBorder="1" applyAlignment="1">
      <alignment horizontal="center" vertical="top"/>
    </xf>
    <xf numFmtId="0" fontId="93" fillId="20" borderId="1" xfId="0" applyFont="1" applyFill="1" applyBorder="1" applyAlignment="1">
      <alignment vertical="top"/>
    </xf>
    <xf numFmtId="43" fontId="98" fillId="20" borderId="1" xfId="1" applyFont="1" applyFill="1" applyBorder="1" applyAlignment="1">
      <alignment horizontal="right" vertical="top"/>
    </xf>
    <xf numFmtId="43" fontId="92" fillId="20" borderId="1" xfId="1" applyFont="1" applyFill="1" applyBorder="1" applyAlignment="1">
      <alignment vertical="top"/>
    </xf>
    <xf numFmtId="0" fontId="92" fillId="20" borderId="1" xfId="0" applyFont="1" applyFill="1" applyBorder="1" applyAlignment="1">
      <alignment vertical="top"/>
    </xf>
    <xf numFmtId="0" fontId="117" fillId="20" borderId="1" xfId="0" applyFont="1" applyFill="1" applyBorder="1" applyAlignment="1">
      <alignment horizontal="left" vertical="top"/>
    </xf>
    <xf numFmtId="0" fontId="92" fillId="20" borderId="1" xfId="0" applyFont="1" applyFill="1" applyBorder="1" applyAlignment="1">
      <alignment vertical="top" wrapText="1"/>
    </xf>
    <xf numFmtId="4" fontId="92" fillId="20" borderId="1" xfId="0" applyNumberFormat="1" applyFont="1" applyFill="1" applyBorder="1" applyAlignment="1">
      <alignment horizontal="right" vertical="top"/>
    </xf>
    <xf numFmtId="4" fontId="92" fillId="20" borderId="1" xfId="0" applyNumberFormat="1" applyFont="1" applyFill="1" applyBorder="1" applyAlignment="1">
      <alignment vertical="top"/>
    </xf>
    <xf numFmtId="43" fontId="98" fillId="20" borderId="1" xfId="1" applyFont="1" applyFill="1" applyBorder="1" applyAlignment="1">
      <alignment horizontal="right"/>
    </xf>
    <xf numFmtId="43" fontId="92" fillId="20" borderId="1" xfId="1" applyFont="1" applyFill="1" applyBorder="1"/>
    <xf numFmtId="0" fontId="92" fillId="20" borderId="1" xfId="0" applyFont="1" applyFill="1" applyBorder="1"/>
    <xf numFmtId="43" fontId="92" fillId="20" borderId="1" xfId="1" applyFont="1" applyFill="1" applyBorder="1" applyAlignment="1">
      <alignment horizontal="left"/>
    </xf>
    <xf numFmtId="0" fontId="92" fillId="20" borderId="1" xfId="0" applyFont="1" applyFill="1" applyBorder="1" applyAlignment="1">
      <alignment wrapText="1"/>
    </xf>
    <xf numFmtId="0" fontId="98" fillId="20" borderId="1" xfId="0" applyFont="1" applyFill="1" applyBorder="1" applyAlignment="1">
      <alignment horizontal="right" vertical="top"/>
    </xf>
    <xf numFmtId="0" fontId="93" fillId="20" borderId="1" xfId="0" applyFont="1" applyFill="1" applyBorder="1"/>
    <xf numFmtId="43" fontId="110" fillId="20" borderId="1" xfId="0" applyNumberFormat="1" applyFont="1" applyFill="1" applyBorder="1"/>
    <xf numFmtId="4" fontId="110" fillId="20" borderId="1" xfId="0" applyNumberFormat="1" applyFont="1" applyFill="1" applyBorder="1" applyAlignment="1">
      <alignment vertical="top"/>
    </xf>
    <xf numFmtId="4" fontId="93" fillId="20" borderId="1" xfId="0" applyNumberFormat="1" applyFont="1" applyFill="1" applyBorder="1" applyAlignment="1">
      <alignment vertical="top"/>
    </xf>
    <xf numFmtId="0" fontId="93" fillId="20" borderId="0" xfId="0" applyFont="1" applyFill="1"/>
    <xf numFmtId="43" fontId="93" fillId="20" borderId="3" xfId="0" applyNumberFormat="1" applyFont="1" applyFill="1" applyBorder="1"/>
    <xf numFmtId="43" fontId="93" fillId="20" borderId="1" xfId="0" applyNumberFormat="1" applyFont="1" applyFill="1" applyBorder="1"/>
    <xf numFmtId="3" fontId="93" fillId="20" borderId="1" xfId="0" applyNumberFormat="1" applyFont="1" applyFill="1" applyBorder="1"/>
    <xf numFmtId="0" fontId="93" fillId="9" borderId="1" xfId="0" applyFont="1" applyFill="1" applyBorder="1"/>
    <xf numFmtId="43" fontId="110" fillId="9" borderId="1" xfId="0" applyNumberFormat="1" applyFont="1" applyFill="1" applyBorder="1"/>
    <xf numFmtId="0" fontId="93" fillId="24" borderId="1" xfId="0" applyFont="1" applyFill="1" applyBorder="1" applyAlignment="1">
      <alignment horizontal="center" vertical="top"/>
    </xf>
    <xf numFmtId="0" fontId="93" fillId="24" borderId="1" xfId="0" applyFont="1" applyFill="1" applyBorder="1" applyAlignment="1">
      <alignment horizontal="left" vertical="top"/>
    </xf>
    <xf numFmtId="43" fontId="93" fillId="24" borderId="1" xfId="1" applyFont="1" applyFill="1" applyBorder="1"/>
    <xf numFmtId="0" fontId="93" fillId="24" borderId="1" xfId="0" applyFont="1" applyFill="1" applyBorder="1"/>
    <xf numFmtId="0" fontId="93" fillId="24" borderId="1" xfId="0" applyFont="1" applyFill="1" applyBorder="1" applyAlignment="1">
      <alignment wrapText="1"/>
    </xf>
    <xf numFmtId="4" fontId="93" fillId="24" borderId="1" xfId="0" applyNumberFormat="1" applyFont="1" applyFill="1" applyBorder="1" applyAlignment="1">
      <alignment horizontal="right" vertical="top"/>
    </xf>
    <xf numFmtId="4" fontId="93" fillId="24" borderId="1" xfId="0" applyNumberFormat="1" applyFont="1" applyFill="1" applyBorder="1" applyAlignment="1">
      <alignment vertical="top"/>
    </xf>
    <xf numFmtId="4" fontId="110" fillId="24" borderId="1" xfId="0" applyNumberFormat="1" applyFont="1" applyFill="1" applyBorder="1" applyAlignment="1">
      <alignment vertical="top"/>
    </xf>
    <xf numFmtId="0" fontId="93" fillId="24" borderId="0" xfId="0" applyFont="1" applyFill="1"/>
    <xf numFmtId="43" fontId="93" fillId="24" borderId="1" xfId="0" applyNumberFormat="1" applyFont="1" applyFill="1" applyBorder="1"/>
    <xf numFmtId="0" fontId="93" fillId="20" borderId="1" xfId="0" applyFont="1" applyFill="1" applyBorder="1" applyAlignment="1">
      <alignment horizontal="left" vertical="top"/>
    </xf>
    <xf numFmtId="43" fontId="110" fillId="20" borderId="1" xfId="1" applyFont="1" applyFill="1" applyBorder="1" applyAlignment="1">
      <alignment horizontal="right"/>
    </xf>
    <xf numFmtId="43" fontId="93" fillId="20" borderId="1" xfId="1" applyFont="1" applyFill="1" applyBorder="1"/>
    <xf numFmtId="43" fontId="93" fillId="20" borderId="1" xfId="1" applyFont="1" applyFill="1" applyBorder="1" applyAlignment="1">
      <alignment horizontal="left"/>
    </xf>
    <xf numFmtId="0" fontId="93" fillId="20" borderId="1" xfId="0" applyFont="1" applyFill="1" applyBorder="1" applyAlignment="1">
      <alignment wrapText="1"/>
    </xf>
    <xf numFmtId="4" fontId="93" fillId="20" borderId="1" xfId="0" applyNumberFormat="1" applyFont="1" applyFill="1" applyBorder="1" applyAlignment="1">
      <alignment horizontal="right" vertical="top"/>
    </xf>
    <xf numFmtId="0" fontId="93" fillId="20" borderId="3" xfId="0" applyFont="1" applyFill="1" applyBorder="1"/>
    <xf numFmtId="43" fontId="110" fillId="20" borderId="1" xfId="1" applyFont="1" applyFill="1" applyBorder="1" applyAlignment="1">
      <alignment horizontal="right" vertical="top"/>
    </xf>
    <xf numFmtId="43" fontId="93" fillId="20" borderId="1" xfId="1" applyFont="1" applyFill="1" applyBorder="1" applyAlignment="1">
      <alignment vertical="top"/>
    </xf>
    <xf numFmtId="43" fontId="93" fillId="20" borderId="1" xfId="0" applyNumberFormat="1" applyFont="1" applyFill="1" applyBorder="1" applyAlignment="1">
      <alignment vertical="top"/>
    </xf>
    <xf numFmtId="43" fontId="93" fillId="20" borderId="1" xfId="1" applyFont="1" applyFill="1" applyBorder="1" applyAlignment="1">
      <alignment horizontal="left" vertical="top"/>
    </xf>
    <xf numFmtId="0" fontId="93" fillId="20" borderId="1" xfId="0" applyFont="1" applyFill="1" applyBorder="1" applyAlignment="1">
      <alignment vertical="top" wrapText="1"/>
    </xf>
    <xf numFmtId="0" fontId="93" fillId="20" borderId="0" xfId="0" applyFont="1" applyFill="1" applyAlignment="1">
      <alignment vertical="top"/>
    </xf>
    <xf numFmtId="0" fontId="93" fillId="20" borderId="3" xfId="0" applyFont="1" applyFill="1" applyBorder="1" applyAlignment="1">
      <alignment vertical="top"/>
    </xf>
    <xf numFmtId="43" fontId="110" fillId="0" borderId="1" xfId="0" applyNumberFormat="1" applyFont="1" applyBorder="1" applyAlignment="1">
      <alignment vertical="top"/>
    </xf>
    <xf numFmtId="43" fontId="110" fillId="20" borderId="1" xfId="0" applyNumberFormat="1" applyFont="1" applyFill="1" applyBorder="1" applyAlignment="1">
      <alignment horizontal="right"/>
    </xf>
    <xf numFmtId="0" fontId="93" fillId="24" borderId="1" xfId="0" applyFont="1" applyFill="1" applyBorder="1" applyAlignment="1">
      <alignment vertical="top"/>
    </xf>
    <xf numFmtId="43" fontId="110" fillId="24" borderId="1" xfId="0" applyNumberFormat="1" applyFont="1" applyFill="1" applyBorder="1" applyAlignment="1">
      <alignment horizontal="right"/>
    </xf>
    <xf numFmtId="0" fontId="93" fillId="24" borderId="1" xfId="0" applyFont="1" applyFill="1" applyBorder="1" applyAlignment="1">
      <alignment horizontal="left"/>
    </xf>
    <xf numFmtId="0" fontId="93" fillId="24" borderId="3" xfId="0" applyFont="1" applyFill="1" applyBorder="1"/>
    <xf numFmtId="0" fontId="94" fillId="24" borderId="1" xfId="0" applyFont="1" applyFill="1" applyBorder="1" applyAlignment="1">
      <alignment horizontal="left"/>
    </xf>
    <xf numFmtId="43" fontId="110" fillId="24" borderId="1" xfId="0" applyNumberFormat="1" applyFont="1" applyFill="1" applyBorder="1"/>
    <xf numFmtId="43" fontId="110" fillId="24" borderId="1" xfId="0" applyNumberFormat="1" applyFont="1" applyFill="1" applyBorder="1" applyAlignment="1">
      <alignment horizontal="right" vertical="top"/>
    </xf>
    <xf numFmtId="43" fontId="93" fillId="24" borderId="1" xfId="1" applyFont="1" applyFill="1" applyBorder="1" applyAlignment="1">
      <alignment vertical="top"/>
    </xf>
    <xf numFmtId="0" fontId="93" fillId="24" borderId="0" xfId="0" applyFont="1" applyFill="1" applyAlignment="1">
      <alignment vertical="top"/>
    </xf>
    <xf numFmtId="0" fontId="93" fillId="24" borderId="1" xfId="0" applyFont="1" applyFill="1" applyBorder="1" applyAlignment="1">
      <alignment vertical="top" wrapText="1"/>
    </xf>
    <xf numFmtId="0" fontId="93" fillId="24" borderId="3" xfId="0" applyFont="1" applyFill="1" applyBorder="1" applyAlignment="1">
      <alignment vertical="top"/>
    </xf>
    <xf numFmtId="43" fontId="110" fillId="24" borderId="1" xfId="0" applyNumberFormat="1" applyFont="1" applyFill="1" applyBorder="1" applyAlignment="1">
      <alignment vertical="top"/>
    </xf>
    <xf numFmtId="0" fontId="95" fillId="0" borderId="1" xfId="0" applyFont="1" applyBorder="1"/>
    <xf numFmtId="4" fontId="92" fillId="23" borderId="1" xfId="0" applyNumberFormat="1" applyFont="1" applyFill="1" applyBorder="1" applyAlignment="1">
      <alignment horizontal="center" vertical="center"/>
    </xf>
    <xf numFmtId="4" fontId="98" fillId="21" borderId="1" xfId="0" applyNumberFormat="1" applyFont="1" applyFill="1" applyBorder="1" applyAlignment="1">
      <alignment horizontal="center" vertical="center"/>
    </xf>
    <xf numFmtId="4" fontId="92" fillId="22" borderId="1" xfId="0" applyNumberFormat="1" applyFont="1" applyFill="1" applyBorder="1" applyAlignment="1">
      <alignment horizontal="center" vertical="center"/>
    </xf>
    <xf numFmtId="4" fontId="93" fillId="9" borderId="1" xfId="0" applyNumberFormat="1" applyFont="1" applyFill="1" applyBorder="1"/>
    <xf numFmtId="4" fontId="93" fillId="20" borderId="1" xfId="0" applyNumberFormat="1" applyFont="1" applyFill="1" applyBorder="1"/>
    <xf numFmtId="4" fontId="110" fillId="20" borderId="1" xfId="0" applyNumberFormat="1" applyFont="1" applyFill="1" applyBorder="1"/>
    <xf numFmtId="4" fontId="110" fillId="9" borderId="1" xfId="0" applyNumberFormat="1" applyFont="1" applyFill="1" applyBorder="1"/>
    <xf numFmtId="4" fontId="110" fillId="0" borderId="1" xfId="0" applyNumberFormat="1" applyFont="1" applyBorder="1"/>
    <xf numFmtId="4" fontId="93" fillId="24" borderId="1" xfId="0" applyNumberFormat="1" applyFont="1" applyFill="1" applyBorder="1"/>
    <xf numFmtId="4" fontId="110" fillId="24" borderId="1" xfId="0" applyNumberFormat="1" applyFont="1" applyFill="1" applyBorder="1"/>
    <xf numFmtId="4" fontId="95" fillId="0" borderId="1" xfId="0" applyNumberFormat="1" applyFont="1" applyBorder="1"/>
    <xf numFmtId="4" fontId="93" fillId="0" borderId="3" xfId="0" applyNumberFormat="1" applyFont="1" applyBorder="1" applyAlignment="1">
      <alignment vertical="top"/>
    </xf>
    <xf numFmtId="4" fontId="98" fillId="0" borderId="1" xfId="0" applyNumberFormat="1" applyFont="1" applyBorder="1"/>
    <xf numFmtId="0" fontId="100" fillId="20" borderId="1" xfId="0" applyFont="1" applyFill="1" applyBorder="1" applyAlignment="1">
      <alignment vertical="top"/>
    </xf>
    <xf numFmtId="43" fontId="110" fillId="20" borderId="1" xfId="0" applyNumberFormat="1" applyFont="1" applyFill="1" applyBorder="1" applyAlignment="1">
      <alignment horizontal="right" vertical="top"/>
    </xf>
    <xf numFmtId="43" fontId="93" fillId="20" borderId="2" xfId="1" applyFont="1" applyFill="1" applyBorder="1" applyAlignment="1">
      <alignment vertical="top" wrapText="1"/>
    </xf>
    <xf numFmtId="4" fontId="111" fillId="20" borderId="1" xfId="0" applyNumberFormat="1" applyFont="1" applyFill="1" applyBorder="1" applyAlignment="1">
      <alignment horizontal="right" vertical="top"/>
    </xf>
    <xf numFmtId="0" fontId="100" fillId="20" borderId="1" xfId="0" applyFont="1" applyFill="1" applyBorder="1" applyAlignment="1">
      <alignment horizontal="left" vertical="top"/>
    </xf>
    <xf numFmtId="4" fontId="111" fillId="20" borderId="3" xfId="0" applyNumberFormat="1" applyFont="1" applyFill="1" applyBorder="1" applyAlignment="1">
      <alignment horizontal="right" vertical="top"/>
    </xf>
    <xf numFmtId="43" fontId="114" fillId="20" borderId="1" xfId="0" applyNumberFormat="1" applyFont="1" applyFill="1" applyBorder="1" applyAlignment="1">
      <alignment horizontal="right" vertical="top"/>
    </xf>
    <xf numFmtId="43" fontId="100" fillId="20" borderId="1" xfId="1" applyFont="1" applyFill="1" applyBorder="1" applyAlignment="1">
      <alignment horizontal="left" vertical="top"/>
    </xf>
    <xf numFmtId="4" fontId="111" fillId="20" borderId="3" xfId="1" applyNumberFormat="1" applyFont="1" applyFill="1" applyBorder="1" applyAlignment="1">
      <alignment horizontal="right" vertical="top"/>
    </xf>
    <xf numFmtId="0" fontId="93" fillId="20" borderId="37" xfId="0" applyFont="1" applyFill="1" applyBorder="1" applyAlignment="1">
      <alignment vertical="top"/>
    </xf>
    <xf numFmtId="4" fontId="111" fillId="20" borderId="37" xfId="1" applyNumberFormat="1" applyFont="1" applyFill="1" applyBorder="1" applyAlignment="1">
      <alignment horizontal="right" vertical="top"/>
    </xf>
    <xf numFmtId="4" fontId="111" fillId="20" borderId="1" xfId="1" applyNumberFormat="1" applyFont="1" applyFill="1" applyBorder="1" applyAlignment="1">
      <alignment horizontal="right" vertical="top"/>
    </xf>
    <xf numFmtId="43" fontId="97" fillId="0" borderId="3" xfId="1" applyFont="1" applyBorder="1" applyAlignment="1">
      <alignment vertical="top"/>
    </xf>
    <xf numFmtId="43" fontId="110" fillId="10" borderId="1" xfId="0" applyNumberFormat="1" applyFont="1" applyFill="1" applyBorder="1" applyAlignment="1">
      <alignment horizontal="right" vertical="top"/>
    </xf>
    <xf numFmtId="43" fontId="93" fillId="10" borderId="1" xfId="1" applyFont="1" applyFill="1" applyBorder="1" applyAlignment="1">
      <alignment horizontal="left" vertical="top"/>
    </xf>
    <xf numFmtId="0" fontId="93" fillId="10" borderId="1" xfId="0" applyFont="1" applyFill="1" applyBorder="1" applyAlignment="1">
      <alignment vertical="top" wrapText="1"/>
    </xf>
    <xf numFmtId="4" fontId="93" fillId="10" borderId="1" xfId="0" applyNumberFormat="1" applyFont="1" applyFill="1" applyBorder="1" applyAlignment="1">
      <alignment vertical="top"/>
    </xf>
    <xf numFmtId="43" fontId="114" fillId="10" borderId="1" xfId="0" applyNumberFormat="1" applyFont="1" applyFill="1" applyBorder="1" applyAlignment="1">
      <alignment horizontal="right" vertical="top"/>
    </xf>
    <xf numFmtId="43" fontId="97" fillId="20" borderId="1" xfId="1" applyFont="1" applyFill="1" applyBorder="1" applyAlignment="1">
      <alignment vertical="top"/>
    </xf>
    <xf numFmtId="4" fontId="93" fillId="20" borderId="1" xfId="1" applyNumberFormat="1" applyFont="1" applyFill="1" applyBorder="1" applyAlignment="1">
      <alignment horizontal="right" vertical="top"/>
    </xf>
    <xf numFmtId="4" fontId="93" fillId="20" borderId="3" xfId="0" applyNumberFormat="1" applyFont="1" applyFill="1" applyBorder="1" applyAlignment="1">
      <alignment horizontal="right" vertical="top"/>
    </xf>
    <xf numFmtId="43" fontId="93" fillId="20" borderId="3" xfId="0" applyNumberFormat="1" applyFont="1" applyFill="1" applyBorder="1" applyAlignment="1">
      <alignment vertical="top"/>
    </xf>
    <xf numFmtId="4" fontId="93" fillId="2" borderId="0" xfId="0" applyNumberFormat="1" applyFont="1" applyFill="1"/>
    <xf numFmtId="0" fontId="93" fillId="10" borderId="2" xfId="0" applyFont="1" applyFill="1" applyBorder="1"/>
    <xf numFmtId="43" fontId="93" fillId="10" borderId="1" xfId="0" applyNumberFormat="1" applyFont="1" applyFill="1" applyBorder="1"/>
    <xf numFmtId="0" fontId="93" fillId="10" borderId="1" xfId="0" applyFont="1" applyFill="1" applyBorder="1" applyAlignment="1">
      <alignment horizontal="left"/>
    </xf>
    <xf numFmtId="0" fontId="93" fillId="10" borderId="1" xfId="0" applyFont="1" applyFill="1" applyBorder="1" applyAlignment="1">
      <alignment wrapText="1"/>
    </xf>
    <xf numFmtId="4" fontId="93" fillId="10" borderId="2" xfId="1" applyNumberFormat="1" applyFont="1" applyFill="1" applyBorder="1" applyAlignment="1">
      <alignment horizontal="right" vertical="top"/>
    </xf>
    <xf numFmtId="4" fontId="93" fillId="10" borderId="1" xfId="0" applyNumberFormat="1" applyFont="1" applyFill="1" applyBorder="1"/>
    <xf numFmtId="0" fontId="93" fillId="10" borderId="3" xfId="0" applyFont="1" applyFill="1" applyBorder="1"/>
    <xf numFmtId="4" fontId="110" fillId="10" borderId="1" xfId="0" applyNumberFormat="1" applyFont="1" applyFill="1" applyBorder="1"/>
    <xf numFmtId="4" fontId="110" fillId="10" borderId="1" xfId="0" applyNumberFormat="1" applyFont="1" applyFill="1" applyBorder="1" applyAlignment="1">
      <alignment horizontal="right"/>
    </xf>
    <xf numFmtId="0" fontId="93" fillId="10" borderId="37" xfId="0" applyFont="1" applyFill="1" applyBorder="1"/>
    <xf numFmtId="43" fontId="93" fillId="10" borderId="1" xfId="1" applyFont="1" applyFill="1" applyBorder="1" applyAlignment="1">
      <alignment horizontal="left"/>
    </xf>
    <xf numFmtId="4" fontId="93" fillId="10" borderId="1" xfId="1" applyNumberFormat="1" applyFont="1" applyFill="1" applyBorder="1" applyAlignment="1">
      <alignment horizontal="right" vertical="top"/>
    </xf>
    <xf numFmtId="4" fontId="114" fillId="10" borderId="1" xfId="0" applyNumberFormat="1" applyFont="1" applyFill="1" applyBorder="1" applyAlignment="1">
      <alignment horizontal="right"/>
    </xf>
    <xf numFmtId="4" fontId="110" fillId="10" borderId="1" xfId="0" applyNumberFormat="1" applyFont="1" applyFill="1" applyBorder="1" applyAlignment="1">
      <alignment horizontal="right" vertical="top"/>
    </xf>
    <xf numFmtId="4" fontId="114" fillId="10" borderId="1" xfId="0" applyNumberFormat="1" applyFont="1" applyFill="1" applyBorder="1" applyAlignment="1">
      <alignment horizontal="right" vertical="top"/>
    </xf>
    <xf numFmtId="4" fontId="93" fillId="10" borderId="3" xfId="1" applyNumberFormat="1" applyFont="1" applyFill="1" applyBorder="1" applyAlignment="1">
      <alignment horizontal="right" vertical="top"/>
    </xf>
    <xf numFmtId="43" fontId="110" fillId="10" borderId="1" xfId="0" applyNumberFormat="1" applyFont="1" applyFill="1" applyBorder="1" applyAlignment="1">
      <alignment horizontal="right"/>
    </xf>
    <xf numFmtId="4" fontId="93" fillId="10" borderId="3" xfId="0" applyNumberFormat="1" applyFont="1" applyFill="1" applyBorder="1" applyAlignment="1">
      <alignment horizontal="right" vertical="top"/>
    </xf>
    <xf numFmtId="43" fontId="114" fillId="10" borderId="1" xfId="0" applyNumberFormat="1" applyFont="1" applyFill="1" applyBorder="1" applyAlignment="1">
      <alignment horizontal="right"/>
    </xf>
    <xf numFmtId="43" fontId="44" fillId="2" borderId="10" xfId="1" applyFont="1" applyFill="1" applyBorder="1" applyAlignment="1">
      <alignment horizontal="right"/>
    </xf>
    <xf numFmtId="43" fontId="65" fillId="0" borderId="0" xfId="1" applyFont="1" applyFill="1" applyBorder="1"/>
    <xf numFmtId="43" fontId="121" fillId="5" borderId="0" xfId="1" applyFont="1" applyFill="1" applyBorder="1"/>
    <xf numFmtId="0" fontId="72" fillId="0" borderId="0" xfId="0" applyFont="1" applyAlignment="1">
      <alignment horizontal="center" vertical="center"/>
    </xf>
    <xf numFmtId="4" fontId="91" fillId="4" borderId="0" xfId="0" applyNumberFormat="1" applyFont="1" applyFill="1"/>
    <xf numFmtId="0" fontId="60" fillId="7" borderId="5" xfId="0" applyFont="1" applyFill="1" applyBorder="1" applyAlignment="1">
      <alignment horizontal="center"/>
    </xf>
    <xf numFmtId="0" fontId="60" fillId="7" borderId="6" xfId="0" applyFont="1" applyFill="1" applyBorder="1" applyAlignment="1">
      <alignment horizontal="center"/>
    </xf>
    <xf numFmtId="0" fontId="60" fillId="7" borderId="7" xfId="0" applyFont="1" applyFill="1" applyBorder="1" applyAlignment="1">
      <alignment horizontal="center"/>
    </xf>
    <xf numFmtId="4" fontId="44" fillId="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9" fillId="9" borderId="16" xfId="0" applyFont="1" applyFill="1" applyBorder="1" applyAlignment="1">
      <alignment horizontal="center"/>
    </xf>
    <xf numFmtId="0" fontId="46" fillId="2" borderId="6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/>
    </xf>
    <xf numFmtId="4" fontId="58" fillId="5" borderId="0" xfId="0" applyNumberFormat="1" applyFont="1" applyFill="1" applyAlignment="1">
      <alignment horizontal="right"/>
    </xf>
    <xf numFmtId="4" fontId="58" fillId="0" borderId="0" xfId="0" applyNumberFormat="1" applyFont="1" applyAlignment="1">
      <alignment horizontal="right"/>
    </xf>
    <xf numFmtId="0" fontId="57" fillId="5" borderId="0" xfId="0" applyFont="1" applyFill="1" applyAlignment="1">
      <alignment horizontal="center" vertical="center"/>
    </xf>
    <xf numFmtId="4" fontId="82" fillId="5" borderId="0" xfId="0" applyNumberFormat="1" applyFont="1" applyFill="1" applyAlignment="1">
      <alignment horizontal="right"/>
    </xf>
    <xf numFmtId="4" fontId="83" fillId="0" borderId="0" xfId="0" applyNumberFormat="1" applyFont="1" applyAlignment="1">
      <alignment horizontal="right" vertical="center"/>
    </xf>
    <xf numFmtId="4" fontId="62" fillId="2" borderId="0" xfId="0" applyNumberFormat="1" applyFont="1" applyFill="1" applyAlignment="1">
      <alignment horizontal="right" vertical="center"/>
    </xf>
    <xf numFmtId="0" fontId="72" fillId="0" borderId="0" xfId="0" applyFont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92" fillId="5" borderId="2" xfId="0" applyFont="1" applyFill="1" applyBorder="1" applyAlignment="1">
      <alignment horizontal="center" vertical="center"/>
    </xf>
    <xf numFmtId="0" fontId="92" fillId="5" borderId="37" xfId="0" applyFont="1" applyFill="1" applyBorder="1" applyAlignment="1">
      <alignment horizontal="center" vertical="center"/>
    </xf>
    <xf numFmtId="0" fontId="92" fillId="5" borderId="3" xfId="0" applyFont="1" applyFill="1" applyBorder="1" applyAlignment="1">
      <alignment horizontal="center" vertical="center"/>
    </xf>
    <xf numFmtId="0" fontId="92" fillId="0" borderId="0" xfId="0" applyFont="1" applyAlignment="1">
      <alignment horizontal="center"/>
    </xf>
    <xf numFmtId="0" fontId="92" fillId="0" borderId="20" xfId="0" applyFont="1" applyBorder="1" applyAlignment="1">
      <alignment horizontal="center"/>
    </xf>
    <xf numFmtId="0" fontId="92" fillId="0" borderId="2" xfId="0" applyFont="1" applyBorder="1" applyAlignment="1">
      <alignment horizontal="center" vertical="center"/>
    </xf>
    <xf numFmtId="0" fontId="92" fillId="0" borderId="37" xfId="0" applyFont="1" applyBorder="1" applyAlignment="1">
      <alignment horizontal="center" vertical="center"/>
    </xf>
    <xf numFmtId="0" fontId="92" fillId="0" borderId="3" xfId="0" applyFont="1" applyBorder="1" applyAlignment="1">
      <alignment horizontal="center" vertical="center"/>
    </xf>
    <xf numFmtId="43" fontId="92" fillId="0" borderId="2" xfId="1" applyFont="1" applyFill="1" applyBorder="1" applyAlignment="1">
      <alignment horizontal="left"/>
    </xf>
    <xf numFmtId="43" fontId="92" fillId="0" borderId="37" xfId="1" applyFont="1" applyFill="1" applyBorder="1" applyAlignment="1">
      <alignment horizontal="left"/>
    </xf>
    <xf numFmtId="43" fontId="92" fillId="0" borderId="3" xfId="1" applyFont="1" applyFill="1" applyBorder="1" applyAlignment="1">
      <alignment horizontal="left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69" fillId="0" borderId="23" xfId="0" applyFont="1" applyBorder="1" applyAlignment="1">
      <alignment horizontal="center" vertical="center" wrapText="1"/>
    </xf>
    <xf numFmtId="0" fontId="69" fillId="0" borderId="24" xfId="0" applyFont="1" applyBorder="1" applyAlignment="1">
      <alignment horizontal="center" vertical="center" wrapText="1"/>
    </xf>
    <xf numFmtId="0" fontId="60" fillId="0" borderId="0" xfId="0" applyFont="1"/>
    <xf numFmtId="4" fontId="57" fillId="0" borderId="0" xfId="0" applyNumberFormat="1" applyFont="1"/>
    <xf numFmtId="0" fontId="122" fillId="2" borderId="0" xfId="0" applyFont="1" applyFill="1"/>
    <xf numFmtId="4" fontId="12" fillId="2" borderId="0" xfId="0" applyNumberFormat="1" applyFont="1" applyFill="1"/>
    <xf numFmtId="4" fontId="44" fillId="2" borderId="0" xfId="0" applyNumberFormat="1" applyFont="1" applyFill="1"/>
    <xf numFmtId="4" fontId="91" fillId="0" borderId="0" xfId="0" applyNumberFormat="1" applyFont="1" applyFill="1"/>
    <xf numFmtId="43" fontId="9" fillId="0" borderId="0" xfId="1" applyFont="1" applyFill="1" applyBorder="1"/>
    <xf numFmtId="43" fontId="123" fillId="2" borderId="0" xfId="0" applyNumberFormat="1" applyFont="1" applyFill="1"/>
    <xf numFmtId="43" fontId="123" fillId="2" borderId="0" xfId="1" applyFont="1" applyFill="1" applyBorder="1"/>
    <xf numFmtId="4" fontId="105" fillId="0" borderId="0" xfId="0" applyNumberFormat="1" applyFont="1"/>
    <xf numFmtId="0" fontId="72" fillId="0" borderId="0" xfId="0" applyFont="1" applyAlignment="1">
      <alignment horizontal="center"/>
    </xf>
    <xf numFmtId="0" fontId="32" fillId="0" borderId="0" xfId="0" applyFont="1" applyAlignment="1"/>
    <xf numFmtId="0" fontId="32" fillId="0" borderId="0" xfId="0" applyFont="1" applyAlignment="1"/>
    <xf numFmtId="191" fontId="72" fillId="0" borderId="0" xfId="0" applyNumberFormat="1" applyFont="1" applyAlignment="1">
      <alignment horizontal="center" vertical="top"/>
    </xf>
    <xf numFmtId="0" fontId="72" fillId="0" borderId="49" xfId="0" applyFont="1" applyBorder="1" applyAlignment="1">
      <alignment horizontal="center" vertical="center"/>
    </xf>
    <xf numFmtId="0" fontId="124" fillId="0" borderId="48" xfId="0" applyFont="1" applyBorder="1"/>
    <xf numFmtId="49" fontId="72" fillId="0" borderId="47" xfId="0" applyNumberFormat="1" applyFont="1" applyBorder="1" applyAlignment="1">
      <alignment horizontal="center" vertical="center"/>
    </xf>
    <xf numFmtId="0" fontId="124" fillId="0" borderId="45" xfId="0" applyFont="1" applyBorder="1"/>
    <xf numFmtId="0" fontId="124" fillId="0" borderId="46" xfId="0" applyFont="1" applyBorder="1"/>
    <xf numFmtId="49" fontId="72" fillId="12" borderId="42" xfId="0" applyNumberFormat="1" applyFont="1" applyFill="1" applyBorder="1" applyAlignment="1">
      <alignment horizontal="center" vertical="center"/>
    </xf>
    <xf numFmtId="49" fontId="72" fillId="14" borderId="42" xfId="0" applyNumberFormat="1" applyFont="1" applyFill="1" applyBorder="1" applyAlignment="1">
      <alignment horizontal="center" vertical="center"/>
    </xf>
    <xf numFmtId="0" fontId="124" fillId="0" borderId="50" xfId="0" applyFont="1" applyBorder="1"/>
    <xf numFmtId="49" fontId="72" fillId="0" borderId="44" xfId="0" applyNumberFormat="1" applyFont="1" applyBorder="1" applyAlignment="1">
      <alignment horizontal="center"/>
    </xf>
    <xf numFmtId="49" fontId="72" fillId="0" borderId="39" xfId="0" applyNumberFormat="1" applyFont="1" applyBorder="1" applyAlignment="1">
      <alignment horizontal="center"/>
    </xf>
    <xf numFmtId="0" fontId="124" fillId="0" borderId="41" xfId="0" applyFont="1" applyBorder="1"/>
    <xf numFmtId="0" fontId="72" fillId="0" borderId="49" xfId="0" applyFont="1" applyBorder="1" applyAlignment="1">
      <alignment vertical="center"/>
    </xf>
    <xf numFmtId="0" fontId="72" fillId="0" borderId="44" xfId="0" applyFont="1" applyBorder="1" applyAlignment="1">
      <alignment vertical="center"/>
    </xf>
    <xf numFmtId="191" fontId="72" fillId="0" borderId="44" xfId="0" applyNumberFormat="1" applyFont="1" applyBorder="1" applyAlignment="1">
      <alignment vertical="center"/>
    </xf>
    <xf numFmtId="191" fontId="125" fillId="0" borderId="44" xfId="0" applyNumberFormat="1" applyFont="1" applyBorder="1" applyAlignment="1"/>
    <xf numFmtId="191" fontId="125" fillId="0" borderId="46" xfId="0" applyNumberFormat="1" applyFont="1" applyBorder="1" applyAlignment="1"/>
    <xf numFmtId="191" fontId="72" fillId="0" borderId="44" xfId="0" applyNumberFormat="1" applyFont="1" applyBorder="1"/>
    <xf numFmtId="0" fontId="72" fillId="0" borderId="50" xfId="0" applyFont="1" applyBorder="1" applyAlignment="1">
      <alignment vertical="center"/>
    </xf>
    <xf numFmtId="187" fontId="72" fillId="0" borderId="44" xfId="0" applyNumberFormat="1" applyFont="1" applyBorder="1" applyAlignment="1">
      <alignment vertical="center" shrinkToFit="1"/>
    </xf>
    <xf numFmtId="191" fontId="125" fillId="15" borderId="41" xfId="0" applyNumberFormat="1" applyFont="1" applyFill="1" applyBorder="1" applyAlignment="1"/>
    <xf numFmtId="191" fontId="125" fillId="15" borderId="40" xfId="0" applyNumberFormat="1" applyFont="1" applyFill="1" applyBorder="1" applyAlignment="1"/>
    <xf numFmtId="191" fontId="72" fillId="15" borderId="44" xfId="0" applyNumberFormat="1" applyFont="1" applyFill="1" applyBorder="1" applyAlignment="1">
      <alignment shrinkToFit="1"/>
    </xf>
    <xf numFmtId="0" fontId="26" fillId="0" borderId="44" xfId="0" applyFont="1" applyBorder="1" applyAlignment="1">
      <alignment horizontal="left" vertical="center" shrinkToFit="1"/>
    </xf>
    <xf numFmtId="187" fontId="72" fillId="0" borderId="44" xfId="0" applyNumberFormat="1" applyFont="1" applyBorder="1" applyAlignment="1">
      <alignment horizontal="right"/>
    </xf>
    <xf numFmtId="187" fontId="72" fillId="0" borderId="46" xfId="0" applyNumberFormat="1" applyFont="1" applyBorder="1" applyAlignment="1">
      <alignment horizontal="right"/>
    </xf>
    <xf numFmtId="191" fontId="125" fillId="15" borderId="41" xfId="0" applyNumberFormat="1" applyFont="1" applyFill="1" applyBorder="1" applyAlignment="1">
      <alignment horizontal="left"/>
    </xf>
    <xf numFmtId="191" fontId="125" fillId="15" borderId="40" xfId="0" applyNumberFormat="1" applyFont="1" applyFill="1" applyBorder="1" applyAlignment="1">
      <alignment horizontal="left"/>
    </xf>
    <xf numFmtId="191" fontId="72" fillId="15" borderId="44" xfId="0" applyNumberFormat="1" applyFont="1" applyFill="1" applyBorder="1" applyAlignment="1">
      <alignment horizontal="right"/>
    </xf>
    <xf numFmtId="187" fontId="126" fillId="0" borderId="44" xfId="0" applyNumberFormat="1" applyFont="1" applyBorder="1" applyAlignment="1">
      <alignment horizontal="right"/>
    </xf>
    <xf numFmtId="187" fontId="125" fillId="0" borderId="46" xfId="0" applyNumberFormat="1" applyFont="1" applyBorder="1" applyAlignment="1">
      <alignment horizontal="right"/>
    </xf>
    <xf numFmtId="187" fontId="72" fillId="0" borderId="41" xfId="0" applyNumberFormat="1" applyFont="1" applyBorder="1" applyAlignment="1">
      <alignment horizontal="right"/>
    </xf>
    <xf numFmtId="187" fontId="72" fillId="0" borderId="40" xfId="0" applyNumberFormat="1" applyFont="1" applyBorder="1" applyAlignment="1">
      <alignment horizontal="right"/>
    </xf>
    <xf numFmtId="191" fontId="125" fillId="0" borderId="41" xfId="0" applyNumberFormat="1" applyFont="1" applyBorder="1" applyAlignment="1">
      <alignment horizontal="left" vertical="top"/>
    </xf>
    <xf numFmtId="191" fontId="125" fillId="0" borderId="40" xfId="0" applyNumberFormat="1" applyFont="1" applyBorder="1" applyAlignment="1">
      <alignment horizontal="left" vertical="top"/>
    </xf>
    <xf numFmtId="191" fontId="72" fillId="0" borderId="44" xfId="0" applyNumberFormat="1" applyFont="1" applyBorder="1" applyAlignment="1">
      <alignment horizontal="left" vertical="top" shrinkToFit="1"/>
    </xf>
    <xf numFmtId="191" fontId="72" fillId="0" borderId="41" xfId="0" applyNumberFormat="1" applyFont="1" applyBorder="1" applyAlignment="1">
      <alignment vertical="top"/>
    </xf>
    <xf numFmtId="191" fontId="32" fillId="0" borderId="41" xfId="0" applyNumberFormat="1" applyFont="1" applyBorder="1" applyAlignment="1">
      <alignment vertical="top"/>
    </xf>
    <xf numFmtId="187" fontId="126" fillId="0" borderId="41" xfId="0" applyNumberFormat="1" applyFont="1" applyBorder="1" applyAlignment="1">
      <alignment horizontal="right"/>
    </xf>
    <xf numFmtId="187" fontId="125" fillId="0" borderId="40" xfId="0" applyNumberFormat="1" applyFont="1" applyBorder="1" applyAlignment="1">
      <alignment horizontal="right"/>
    </xf>
    <xf numFmtId="0" fontId="26" fillId="0" borderId="44" xfId="0" applyFont="1" applyBorder="1" applyAlignment="1">
      <alignment vertical="center" shrinkToFit="1"/>
    </xf>
    <xf numFmtId="191" fontId="72" fillId="0" borderId="44" xfId="0" applyNumberFormat="1" applyFont="1" applyBorder="1" applyAlignment="1">
      <alignment vertical="top" shrinkToFit="1"/>
    </xf>
    <xf numFmtId="191" fontId="72" fillId="0" borderId="41" xfId="0" applyNumberFormat="1" applyFont="1" applyBorder="1" applyAlignment="1">
      <alignment horizontal="right" vertical="top"/>
    </xf>
    <xf numFmtId="187" fontId="72" fillId="0" borderId="41" xfId="0" applyNumberFormat="1" applyFont="1" applyBorder="1" applyAlignment="1"/>
    <xf numFmtId="187" fontId="72" fillId="0" borderId="40" xfId="0" applyNumberFormat="1" applyFont="1" applyBorder="1" applyAlignment="1"/>
    <xf numFmtId="0" fontId="72" fillId="0" borderId="44" xfId="0" applyFont="1" applyBorder="1" applyAlignment="1">
      <alignment vertical="center" shrinkToFit="1"/>
    </xf>
    <xf numFmtId="191" fontId="125" fillId="0" borderId="41" xfId="0" applyNumberFormat="1" applyFont="1" applyBorder="1" applyAlignment="1">
      <alignment vertical="top"/>
    </xf>
    <xf numFmtId="191" fontId="125" fillId="0" borderId="40" xfId="0" applyNumberFormat="1" applyFont="1" applyBorder="1" applyAlignment="1">
      <alignment vertical="top"/>
    </xf>
    <xf numFmtId="187" fontId="127" fillId="0" borderId="44" xfId="0" applyNumberFormat="1" applyFont="1" applyBorder="1" applyAlignment="1">
      <alignment vertical="center" shrinkToFit="1"/>
    </xf>
    <xf numFmtId="191" fontId="125" fillId="0" borderId="41" xfId="0" applyNumberFormat="1" applyFont="1" applyBorder="1" applyAlignment="1">
      <alignment horizontal="left"/>
    </xf>
    <xf numFmtId="191" fontId="125" fillId="0" borderId="40" xfId="0" applyNumberFormat="1" applyFont="1" applyBorder="1" applyAlignment="1">
      <alignment horizontal="left"/>
    </xf>
    <xf numFmtId="191" fontId="32" fillId="0" borderId="41" xfId="0" applyNumberFormat="1" applyFont="1" applyBorder="1" applyAlignment="1"/>
    <xf numFmtId="191" fontId="72" fillId="0" borderId="44" xfId="0" applyNumberFormat="1" applyFont="1" applyBorder="1" applyAlignment="1">
      <alignment vertical="top"/>
    </xf>
    <xf numFmtId="191" fontId="72" fillId="0" borderId="41" xfId="0" applyNumberFormat="1" applyFont="1" applyBorder="1" applyAlignment="1">
      <alignment horizontal="right"/>
    </xf>
    <xf numFmtId="0" fontId="72" fillId="0" borderId="42" xfId="0" applyFont="1" applyBorder="1" applyAlignment="1">
      <alignment vertical="center"/>
    </xf>
    <xf numFmtId="0" fontId="72" fillId="0" borderId="42" xfId="0" applyFont="1" applyBorder="1" applyAlignment="1">
      <alignment horizontal="right" vertical="center" shrinkToFit="1"/>
    </xf>
    <xf numFmtId="0" fontId="72" fillId="13" borderId="42" xfId="0" applyFont="1" applyFill="1" applyBorder="1" applyAlignment="1">
      <alignment vertical="center"/>
    </xf>
    <xf numFmtId="0" fontId="72" fillId="13" borderId="44" xfId="0" applyFont="1" applyFill="1" applyBorder="1" applyAlignment="1">
      <alignment vertical="center"/>
    </xf>
    <xf numFmtId="191" fontId="125" fillId="0" borderId="41" xfId="0" applyNumberFormat="1" applyFont="1" applyBorder="1" applyAlignment="1"/>
    <xf numFmtId="191" fontId="125" fillId="0" borderId="40" xfId="0" applyNumberFormat="1" applyFont="1" applyBorder="1" applyAlignment="1"/>
    <xf numFmtId="0" fontId="72" fillId="0" borderId="46" xfId="0" applyFont="1" applyBorder="1" applyAlignment="1">
      <alignment vertical="center"/>
    </xf>
    <xf numFmtId="0" fontId="72" fillId="0" borderId="38" xfId="0" applyFont="1" applyBorder="1" applyAlignment="1">
      <alignment vertical="center"/>
    </xf>
    <xf numFmtId="187" fontId="72" fillId="13" borderId="44" xfId="0" applyNumberFormat="1" applyFont="1" applyFill="1" applyBorder="1" applyAlignment="1">
      <alignment horizontal="right"/>
    </xf>
    <xf numFmtId="187" fontId="72" fillId="13" borderId="46" xfId="0" applyNumberFormat="1" applyFont="1" applyFill="1" applyBorder="1" applyAlignment="1">
      <alignment horizontal="right"/>
    </xf>
    <xf numFmtId="191" fontId="125" fillId="0" borderId="41" xfId="0" applyNumberFormat="1" applyFont="1" applyBorder="1" applyAlignment="1">
      <alignment horizontal="right" vertical="top"/>
    </xf>
    <xf numFmtId="191" fontId="125" fillId="0" borderId="40" xfId="0" applyNumberFormat="1" applyFont="1" applyBorder="1" applyAlignment="1">
      <alignment horizontal="right" vertical="top"/>
    </xf>
    <xf numFmtId="191" fontId="72" fillId="0" borderId="44" xfId="0" applyNumberFormat="1" applyFont="1" applyBorder="1" applyAlignment="1">
      <alignment horizontal="right" vertical="top" shrinkToFit="1"/>
    </xf>
    <xf numFmtId="191" fontId="72" fillId="0" borderId="44" xfId="0" applyNumberFormat="1" applyFont="1" applyBorder="1" applyAlignment="1">
      <alignment horizontal="right" vertical="top"/>
    </xf>
    <xf numFmtId="187" fontId="125" fillId="0" borderId="44" xfId="0" applyNumberFormat="1" applyFont="1" applyBorder="1" applyAlignment="1">
      <alignment horizontal="right"/>
    </xf>
    <xf numFmtId="187" fontId="125" fillId="0" borderId="41" xfId="0" applyNumberFormat="1" applyFont="1" applyBorder="1" applyAlignment="1">
      <alignment horizontal="right"/>
    </xf>
    <xf numFmtId="0" fontId="26" fillId="0" borderId="38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187" fontId="72" fillId="13" borderId="41" xfId="0" applyNumberFormat="1" applyFont="1" applyFill="1" applyBorder="1" applyAlignment="1">
      <alignment horizontal="right"/>
    </xf>
    <xf numFmtId="187" fontId="72" fillId="13" borderId="40" xfId="0" applyNumberFormat="1" applyFont="1" applyFill="1" applyBorder="1" applyAlignment="1">
      <alignment horizontal="right"/>
    </xf>
    <xf numFmtId="187" fontId="72" fillId="13" borderId="0" xfId="0" applyNumberFormat="1" applyFont="1" applyFill="1" applyAlignment="1">
      <alignment horizontal="right"/>
    </xf>
    <xf numFmtId="187" fontId="72" fillId="0" borderId="46" xfId="0" applyNumberFormat="1" applyFont="1" applyBorder="1" applyAlignment="1"/>
    <xf numFmtId="0" fontId="72" fillId="0" borderId="43" xfId="0" applyFont="1" applyBorder="1" applyAlignment="1">
      <alignment vertical="center"/>
    </xf>
    <xf numFmtId="0" fontId="72" fillId="0" borderId="41" xfId="0" applyFont="1" applyBorder="1" applyAlignment="1">
      <alignment vertical="center"/>
    </xf>
    <xf numFmtId="0" fontId="72" fillId="0" borderId="41" xfId="0" applyFont="1" applyBorder="1" applyAlignment="1">
      <alignment vertical="center" shrinkToFit="1"/>
    </xf>
    <xf numFmtId="191" fontId="72" fillId="0" borderId="44" xfId="0" applyNumberFormat="1" applyFont="1" applyBorder="1" applyAlignment="1">
      <alignment horizontal="right"/>
    </xf>
    <xf numFmtId="191" fontId="72" fillId="0" borderId="41" xfId="0" applyNumberFormat="1" applyFont="1" applyBorder="1" applyAlignment="1">
      <alignment shrinkToFit="1"/>
    </xf>
    <xf numFmtId="191" fontId="26" fillId="0" borderId="41" xfId="0" applyNumberFormat="1" applyFont="1" applyBorder="1" applyAlignment="1">
      <alignment horizontal="right"/>
    </xf>
    <xf numFmtId="187" fontId="26" fillId="0" borderId="41" xfId="0" applyNumberFormat="1" applyFont="1" applyBorder="1" applyAlignment="1"/>
    <xf numFmtId="187" fontId="26" fillId="0" borderId="40" xfId="0" applyNumberFormat="1" applyFont="1" applyBorder="1" applyAlignment="1"/>
    <xf numFmtId="191" fontId="72" fillId="0" borderId="47" xfId="0" applyNumberFormat="1" applyFont="1" applyBorder="1" applyAlignment="1">
      <alignment horizontal="left" shrinkToFit="1"/>
    </xf>
    <xf numFmtId="0" fontId="26" fillId="25" borderId="0" xfId="0" applyFont="1" applyFill="1" applyAlignment="1">
      <alignment vertical="center"/>
    </xf>
    <xf numFmtId="0" fontId="26" fillId="25" borderId="38" xfId="0" applyFont="1" applyFill="1" applyBorder="1" applyAlignment="1">
      <alignment vertical="center"/>
    </xf>
    <xf numFmtId="0" fontId="72" fillId="25" borderId="46" xfId="0" applyFont="1" applyFill="1" applyBorder="1" applyAlignment="1">
      <alignment vertical="center"/>
    </xf>
    <xf numFmtId="0" fontId="72" fillId="25" borderId="44" xfId="0" applyFont="1" applyFill="1" applyBorder="1" applyAlignment="1">
      <alignment vertical="center"/>
    </xf>
    <xf numFmtId="187" fontId="72" fillId="25" borderId="41" xfId="0" applyNumberFormat="1" applyFont="1" applyFill="1" applyBorder="1" applyAlignment="1"/>
    <xf numFmtId="187" fontId="72" fillId="25" borderId="40" xfId="0" applyNumberFormat="1" applyFont="1" applyFill="1" applyBorder="1" applyAlignment="1"/>
    <xf numFmtId="191" fontId="125" fillId="25" borderId="41" xfId="0" applyNumberFormat="1" applyFont="1" applyFill="1" applyBorder="1" applyAlignment="1"/>
    <xf numFmtId="191" fontId="125" fillId="25" borderId="40" xfId="0" applyNumberFormat="1" applyFont="1" applyFill="1" applyBorder="1" applyAlignment="1"/>
    <xf numFmtId="191" fontId="72" fillId="25" borderId="44" xfId="0" applyNumberFormat="1" applyFont="1" applyFill="1" applyBorder="1" applyAlignment="1">
      <alignment shrinkToFit="1"/>
    </xf>
    <xf numFmtId="191" fontId="32" fillId="25" borderId="41" xfId="0" applyNumberFormat="1" applyFont="1" applyFill="1" applyBorder="1" applyAlignment="1"/>
    <xf numFmtId="191" fontId="72" fillId="25" borderId="44" xfId="0" applyNumberFormat="1" applyFont="1" applyFill="1" applyBorder="1"/>
    <xf numFmtId="187" fontId="72" fillId="25" borderId="44" xfId="0" applyNumberFormat="1" applyFont="1" applyFill="1" applyBorder="1" applyAlignment="1">
      <alignment vertical="center" shrinkToFit="1"/>
    </xf>
    <xf numFmtId="191" fontId="125" fillId="0" borderId="41" xfId="0" applyNumberFormat="1" applyFont="1" applyBorder="1" applyAlignment="1">
      <alignment horizontal="center"/>
    </xf>
    <xf numFmtId="191" fontId="125" fillId="0" borderId="40" xfId="0" applyNumberFormat="1" applyFont="1" applyBorder="1" applyAlignment="1">
      <alignment horizontal="center"/>
    </xf>
    <xf numFmtId="191" fontId="72" fillId="0" borderId="44" xfId="0" applyNumberFormat="1" applyFont="1" applyBorder="1" applyAlignment="1">
      <alignment horizontal="center" vertical="center" shrinkToFit="1"/>
    </xf>
    <xf numFmtId="191" fontId="32" fillId="0" borderId="41" xfId="0" applyNumberFormat="1" applyFont="1" applyBorder="1"/>
    <xf numFmtId="191" fontId="128" fillId="0" borderId="41" xfId="0" applyNumberFormat="1" applyFont="1" applyBorder="1" applyAlignment="1">
      <alignment horizontal="left"/>
    </xf>
    <xf numFmtId="191" fontId="128" fillId="0" borderId="40" xfId="0" applyNumberFormat="1" applyFont="1" applyBorder="1" applyAlignment="1">
      <alignment horizontal="left"/>
    </xf>
    <xf numFmtId="191" fontId="125" fillId="0" borderId="41" xfId="0" applyNumberFormat="1" applyFont="1" applyBorder="1" applyAlignment="1">
      <alignment horizontal="right"/>
    </xf>
    <xf numFmtId="191" fontId="125" fillId="0" borderId="40" xfId="0" applyNumberFormat="1" applyFont="1" applyBorder="1" applyAlignment="1">
      <alignment horizontal="right"/>
    </xf>
    <xf numFmtId="191" fontId="72" fillId="0" borderId="44" xfId="0" applyNumberFormat="1" applyFont="1" applyBorder="1" applyAlignment="1">
      <alignment horizontal="right" shrinkToFit="1"/>
    </xf>
    <xf numFmtId="0" fontId="26" fillId="0" borderId="41" xfId="0" applyFont="1" applyBorder="1" applyAlignment="1">
      <alignment vertical="center"/>
    </xf>
    <xf numFmtId="187" fontId="112" fillId="0" borderId="40" xfId="0" applyNumberFormat="1" applyFont="1" applyBorder="1" applyAlignment="1">
      <alignment horizontal="right"/>
    </xf>
    <xf numFmtId="191" fontId="125" fillId="0" borderId="51" xfId="0" applyNumberFormat="1" applyFont="1" applyBorder="1" applyAlignment="1">
      <alignment horizontal="left"/>
    </xf>
    <xf numFmtId="191" fontId="72" fillId="0" borderId="41" xfId="0" applyNumberFormat="1" applyFont="1" applyBorder="1" applyAlignment="1"/>
    <xf numFmtId="187" fontId="125" fillId="13" borderId="44" xfId="0" applyNumberFormat="1" applyFont="1" applyFill="1" applyBorder="1" applyAlignment="1">
      <alignment horizontal="right"/>
    </xf>
    <xf numFmtId="0" fontId="26" fillId="26" borderId="0" xfId="0" applyFont="1" applyFill="1" applyAlignment="1">
      <alignment vertical="center"/>
    </xf>
    <xf numFmtId="0" fontId="26" fillId="26" borderId="41" xfId="0" applyFont="1" applyFill="1" applyBorder="1" applyAlignment="1">
      <alignment vertical="center"/>
    </xf>
    <xf numFmtId="0" fontId="26" fillId="26" borderId="46" xfId="0" applyFont="1" applyFill="1" applyBorder="1" applyAlignment="1">
      <alignment vertical="center"/>
    </xf>
    <xf numFmtId="0" fontId="72" fillId="26" borderId="44" xfId="0" applyFont="1" applyFill="1" applyBorder="1" applyAlignment="1">
      <alignment vertical="center"/>
    </xf>
    <xf numFmtId="0" fontId="26" fillId="26" borderId="44" xfId="0" applyFont="1" applyFill="1" applyBorder="1" applyAlignment="1">
      <alignment vertical="center"/>
    </xf>
    <xf numFmtId="187" fontId="72" fillId="26" borderId="41" xfId="0" applyNumberFormat="1" applyFont="1" applyFill="1" applyBorder="1" applyAlignment="1">
      <alignment vertical="center" shrinkToFit="1"/>
    </xf>
    <xf numFmtId="187" fontId="72" fillId="26" borderId="40" xfId="0" applyNumberFormat="1" applyFont="1" applyFill="1" applyBorder="1" applyAlignment="1">
      <alignment vertical="center" shrinkToFit="1"/>
    </xf>
    <xf numFmtId="191" fontId="125" fillId="26" borderId="51" xfId="0" applyNumberFormat="1" applyFont="1" applyFill="1" applyBorder="1" applyAlignment="1">
      <alignment horizontal="right" vertical="top"/>
    </xf>
    <xf numFmtId="191" fontId="125" fillId="26" borderId="52" xfId="0" applyNumberFormat="1" applyFont="1" applyFill="1" applyBorder="1" applyAlignment="1">
      <alignment horizontal="right" vertical="top"/>
    </xf>
    <xf numFmtId="191" fontId="72" fillId="26" borderId="47" xfId="0" applyNumberFormat="1" applyFont="1" applyFill="1" applyBorder="1" applyAlignment="1">
      <alignment horizontal="right" vertical="top" shrinkToFit="1"/>
    </xf>
    <xf numFmtId="191" fontId="129" fillId="26" borderId="41" xfId="0" applyNumberFormat="1" applyFont="1" applyFill="1" applyBorder="1" applyAlignment="1">
      <alignment horizontal="center" vertical="top"/>
    </xf>
    <xf numFmtId="191" fontId="72" fillId="26" borderId="44" xfId="0" applyNumberFormat="1" applyFont="1" applyFill="1" applyBorder="1"/>
    <xf numFmtId="187" fontId="26" fillId="26" borderId="44" xfId="0" applyNumberFormat="1" applyFont="1" applyFill="1" applyBorder="1" applyAlignment="1">
      <alignment vertical="center" shrinkToFit="1"/>
    </xf>
    <xf numFmtId="187" fontId="26" fillId="26" borderId="41" xfId="0" applyNumberFormat="1" applyFont="1" applyFill="1" applyBorder="1" applyAlignment="1">
      <alignment vertical="center" shrinkToFit="1"/>
    </xf>
    <xf numFmtId="187" fontId="26" fillId="26" borderId="40" xfId="0" applyNumberFormat="1" applyFont="1" applyFill="1" applyBorder="1" applyAlignment="1">
      <alignment vertical="center" shrinkToFit="1"/>
    </xf>
    <xf numFmtId="191" fontId="32" fillId="26" borderId="41" xfId="0" applyNumberFormat="1" applyFont="1" applyFill="1" applyBorder="1" applyAlignment="1">
      <alignment vertical="top"/>
    </xf>
    <xf numFmtId="0" fontId="72" fillId="0" borderId="44" xfId="0" applyFont="1" applyBorder="1" applyAlignment="1">
      <alignment horizontal="right" vertical="center"/>
    </xf>
    <xf numFmtId="187" fontId="104" fillId="0" borderId="41" xfId="0" applyNumberFormat="1" applyFont="1" applyBorder="1" applyAlignment="1">
      <alignment horizontal="right"/>
    </xf>
    <xf numFmtId="0" fontId="26" fillId="27" borderId="0" xfId="0" applyFont="1" applyFill="1" applyAlignment="1">
      <alignment vertical="center"/>
    </xf>
    <xf numFmtId="0" fontId="26" fillId="27" borderId="44" xfId="0" applyFont="1" applyFill="1" applyBorder="1" applyAlignment="1">
      <alignment vertical="center"/>
    </xf>
    <xf numFmtId="0" fontId="72" fillId="27" borderId="44" xfId="0" applyFont="1" applyFill="1" applyBorder="1" applyAlignment="1">
      <alignment horizontal="right" vertical="center"/>
    </xf>
    <xf numFmtId="187" fontId="72" fillId="27" borderId="44" xfId="0" applyNumberFormat="1" applyFont="1" applyFill="1" applyBorder="1" applyAlignment="1">
      <alignment horizontal="right"/>
    </xf>
    <xf numFmtId="187" fontId="125" fillId="27" borderId="46" xfId="0" applyNumberFormat="1" applyFont="1" applyFill="1" applyBorder="1" applyAlignment="1">
      <alignment horizontal="right"/>
    </xf>
    <xf numFmtId="191" fontId="125" fillId="27" borderId="38" xfId="0" applyNumberFormat="1" applyFont="1" applyFill="1" applyBorder="1" applyAlignment="1">
      <alignment horizontal="left" vertical="top"/>
    </xf>
    <xf numFmtId="191" fontId="125" fillId="27" borderId="39" xfId="0" applyNumberFormat="1" applyFont="1" applyFill="1" applyBorder="1" applyAlignment="1">
      <alignment horizontal="left" vertical="top"/>
    </xf>
    <xf numFmtId="191" fontId="125" fillId="27" borderId="42" xfId="0" applyNumberFormat="1" applyFont="1" applyFill="1" applyBorder="1" applyAlignment="1">
      <alignment horizontal="left" vertical="top" shrinkToFit="1"/>
    </xf>
    <xf numFmtId="191" fontId="125" fillId="27" borderId="41" xfId="0" applyNumberFormat="1" applyFont="1" applyFill="1" applyBorder="1" applyAlignment="1">
      <alignment vertical="top"/>
    </xf>
    <xf numFmtId="191" fontId="125" fillId="27" borderId="44" xfId="0" applyNumberFormat="1" applyFont="1" applyFill="1" applyBorder="1" applyAlignment="1">
      <alignment horizontal="left" vertical="top" shrinkToFit="1"/>
    </xf>
    <xf numFmtId="191" fontId="125" fillId="27" borderId="44" xfId="0" applyNumberFormat="1" applyFont="1" applyFill="1" applyBorder="1"/>
    <xf numFmtId="187" fontId="125" fillId="27" borderId="44" xfId="0" applyNumberFormat="1" applyFont="1" applyFill="1" applyBorder="1" applyAlignment="1">
      <alignment horizontal="right"/>
    </xf>
    <xf numFmtId="187" fontId="72" fillId="27" borderId="44" xfId="0" applyNumberFormat="1" applyFont="1" applyFill="1" applyBorder="1" applyAlignment="1">
      <alignment vertical="center" shrinkToFit="1"/>
    </xf>
    <xf numFmtId="187" fontId="125" fillId="27" borderId="44" xfId="0" applyNumberFormat="1" applyFont="1" applyFill="1" applyBorder="1" applyAlignment="1">
      <alignment vertical="center" shrinkToFit="1"/>
    </xf>
    <xf numFmtId="187" fontId="125" fillId="27" borderId="41" xfId="0" applyNumberFormat="1" applyFont="1" applyFill="1" applyBorder="1" applyAlignment="1">
      <alignment horizontal="right"/>
    </xf>
    <xf numFmtId="191" fontId="125" fillId="27" borderId="46" xfId="0" applyNumberFormat="1" applyFont="1" applyFill="1" applyBorder="1"/>
    <xf numFmtId="191" fontId="128" fillId="16" borderId="41" xfId="0" applyNumberFormat="1" applyFont="1" applyFill="1" applyBorder="1" applyAlignment="1">
      <alignment horizontal="right" vertical="top"/>
    </xf>
    <xf numFmtId="191" fontId="128" fillId="16" borderId="40" xfId="0" applyNumberFormat="1" applyFont="1" applyFill="1" applyBorder="1" applyAlignment="1">
      <alignment horizontal="right" vertical="top"/>
    </xf>
    <xf numFmtId="191" fontId="72" fillId="0" borderId="41" xfId="0" applyNumberFormat="1" applyFont="1" applyBorder="1" applyAlignment="1">
      <alignment horizontal="right" vertical="top" shrinkToFit="1"/>
    </xf>
    <xf numFmtId="191" fontId="26" fillId="0" borderId="41" xfId="0" applyNumberFormat="1" applyFont="1" applyBorder="1" applyAlignment="1">
      <alignment horizontal="right" vertical="top"/>
    </xf>
    <xf numFmtId="191" fontId="72" fillId="0" borderId="41" xfId="0" applyNumberFormat="1" applyFont="1" applyBorder="1"/>
    <xf numFmtId="191" fontId="125" fillId="16" borderId="41" xfId="0" applyNumberFormat="1" applyFont="1" applyFill="1" applyBorder="1" applyAlignment="1">
      <alignment horizontal="right"/>
    </xf>
    <xf numFmtId="191" fontId="125" fillId="16" borderId="40" xfId="0" applyNumberFormat="1" applyFont="1" applyFill="1" applyBorder="1" applyAlignment="1">
      <alignment horizontal="right"/>
    </xf>
    <xf numFmtId="191" fontId="72" fillId="0" borderId="47" xfId="0" applyNumberFormat="1" applyFont="1" applyBorder="1" applyAlignment="1">
      <alignment shrinkToFit="1"/>
    </xf>
    <xf numFmtId="0" fontId="72" fillId="0" borderId="39" xfId="0" applyFont="1" applyBorder="1" applyAlignment="1">
      <alignment vertical="center"/>
    </xf>
    <xf numFmtId="187" fontId="72" fillId="0" borderId="39" xfId="0" applyNumberFormat="1" applyFont="1" applyBorder="1" applyAlignment="1">
      <alignment vertical="center" shrinkToFit="1"/>
    </xf>
    <xf numFmtId="187" fontId="72" fillId="0" borderId="38" xfId="0" applyNumberFormat="1" applyFont="1" applyBorder="1" applyAlignment="1">
      <alignment vertical="center" shrinkToFit="1"/>
    </xf>
    <xf numFmtId="187" fontId="72" fillId="0" borderId="42" xfId="0" applyNumberFormat="1" applyFont="1" applyBorder="1" applyAlignment="1">
      <alignment vertical="center" shrinkToFit="1"/>
    </xf>
    <xf numFmtId="187" fontId="72" fillId="0" borderId="49" xfId="0" applyNumberFormat="1" applyFont="1" applyBorder="1" applyAlignment="1">
      <alignment vertical="center" shrinkToFit="1"/>
    </xf>
    <xf numFmtId="191" fontId="125" fillId="0" borderId="38" xfId="0" applyNumberFormat="1" applyFont="1" applyBorder="1" applyAlignment="1">
      <alignment horizontal="right" vertical="top"/>
    </xf>
    <xf numFmtId="191" fontId="125" fillId="0" borderId="39" xfId="0" applyNumberFormat="1" applyFont="1" applyBorder="1" applyAlignment="1">
      <alignment horizontal="right" vertical="top"/>
    </xf>
    <xf numFmtId="191" fontId="72" fillId="0" borderId="42" xfId="0" applyNumberFormat="1" applyFont="1" applyBorder="1" applyAlignment="1">
      <alignment horizontal="right" vertical="top" shrinkToFit="1"/>
    </xf>
    <xf numFmtId="191" fontId="72" fillId="0" borderId="42" xfId="0" applyNumberFormat="1" applyFont="1" applyBorder="1"/>
    <xf numFmtId="191" fontId="125" fillId="0" borderId="44" xfId="0" applyNumberFormat="1" applyFont="1" applyBorder="1" applyAlignment="1">
      <alignment horizontal="left"/>
    </xf>
    <xf numFmtId="191" fontId="125" fillId="0" borderId="46" xfId="0" applyNumberFormat="1" applyFont="1" applyBorder="1" applyAlignment="1">
      <alignment horizontal="left"/>
    </xf>
    <xf numFmtId="191" fontId="72" fillId="0" borderId="44" xfId="0" applyNumberFormat="1" applyFont="1" applyBorder="1" applyAlignment="1">
      <alignment horizontal="left" shrinkToFit="1"/>
    </xf>
    <xf numFmtId="191" fontId="72" fillId="0" borderId="44" xfId="0" applyNumberFormat="1" applyFont="1" applyBorder="1" applyAlignment="1"/>
    <xf numFmtId="0" fontId="72" fillId="0" borderId="44" xfId="0" applyFont="1" applyBorder="1" applyAlignment="1">
      <alignment horizontal="left" vertical="center"/>
    </xf>
    <xf numFmtId="0" fontId="72" fillId="0" borderId="0" xfId="0" applyFont="1" applyAlignment="1">
      <alignment horizontal="left"/>
    </xf>
    <xf numFmtId="191" fontId="72" fillId="0" borderId="0" xfId="0" applyNumberFormat="1" applyFont="1" applyAlignment="1">
      <alignment horizontal="right" shrinkToFit="1"/>
    </xf>
    <xf numFmtId="191" fontId="72" fillId="0" borderId="0" xfId="0" applyNumberFormat="1" applyFont="1" applyAlignment="1">
      <alignment horizontal="right" vertical="top" shrinkToFit="1"/>
    </xf>
    <xf numFmtId="191" fontId="72" fillId="0" borderId="0" xfId="0" applyNumberFormat="1" applyFont="1" applyAlignment="1">
      <alignment horizontal="left" shrinkToFit="1"/>
    </xf>
    <xf numFmtId="191" fontId="72" fillId="28" borderId="0" xfId="0" applyNumberFormat="1" applyFont="1" applyFill="1" applyBorder="1" applyAlignment="1">
      <alignment horizontal="center" shrinkToFit="1"/>
    </xf>
    <xf numFmtId="0" fontId="72" fillId="28" borderId="44" xfId="0" applyFont="1" applyFill="1" applyBorder="1"/>
    <xf numFmtId="0" fontId="72" fillId="28" borderId="44" xfId="0" applyFont="1" applyFill="1" applyBorder="1" applyAlignment="1">
      <alignment horizontal="left"/>
    </xf>
    <xf numFmtId="191" fontId="72" fillId="28" borderId="44" xfId="0" applyNumberFormat="1" applyFont="1" applyFill="1" applyBorder="1" applyAlignment="1">
      <alignment horizontal="left" shrinkToFit="1"/>
    </xf>
    <xf numFmtId="9" fontId="72" fillId="28" borderId="44" xfId="0" applyNumberFormat="1" applyFont="1" applyFill="1" applyBorder="1" applyAlignment="1">
      <alignment horizontal="right" shrinkToFit="1"/>
    </xf>
    <xf numFmtId="191" fontId="72" fillId="28" borderId="44" xfId="0" applyNumberFormat="1" applyFont="1" applyFill="1" applyBorder="1"/>
    <xf numFmtId="9" fontId="72" fillId="28" borderId="44" xfId="0" applyNumberFormat="1" applyFont="1" applyFill="1" applyBorder="1" applyAlignment="1">
      <alignment horizontal="right" vertical="top" shrinkToFit="1"/>
    </xf>
    <xf numFmtId="9" fontId="72" fillId="0" borderId="0" xfId="0" applyNumberFormat="1" applyFont="1" applyAlignment="1">
      <alignment horizontal="right" shrinkToFit="1"/>
    </xf>
    <xf numFmtId="191" fontId="26" fillId="0" borderId="0" xfId="0" applyNumberFormat="1" applyFont="1" applyAlignment="1">
      <alignment vertical="top"/>
    </xf>
    <xf numFmtId="0" fontId="26" fillId="0" borderId="0" xfId="0" applyFont="1" applyAlignment="1">
      <alignment horizontal="center" vertical="center"/>
    </xf>
    <xf numFmtId="187" fontId="104" fillId="27" borderId="44" xfId="0" applyNumberFormat="1" applyFont="1" applyFill="1" applyBorder="1" applyAlignment="1">
      <alignment vertical="center" shrinkToFit="1"/>
    </xf>
    <xf numFmtId="187" fontId="104" fillId="27" borderId="44" xfId="0" applyNumberFormat="1" applyFont="1" applyFill="1" applyBorder="1" applyAlignment="1">
      <alignment horizontal="right"/>
    </xf>
    <xf numFmtId="43" fontId="130" fillId="9" borderId="0" xfId="1" applyFont="1" applyFill="1" applyBorder="1"/>
    <xf numFmtId="43" fontId="131" fillId="9" borderId="0" xfId="1" applyFont="1" applyFill="1" applyBorder="1"/>
    <xf numFmtId="4" fontId="19" fillId="9" borderId="1" xfId="0" applyNumberFormat="1" applyFont="1" applyFill="1" applyBorder="1"/>
    <xf numFmtId="191" fontId="72" fillId="29" borderId="44" xfId="0" applyNumberFormat="1" applyFont="1" applyFill="1" applyBorder="1" applyAlignment="1">
      <alignment shrinkToFit="1"/>
    </xf>
    <xf numFmtId="191" fontId="125" fillId="30" borderId="42" xfId="0" applyNumberFormat="1" applyFont="1" applyFill="1" applyBorder="1"/>
    <xf numFmtId="191" fontId="125" fillId="31" borderId="44" xfId="0" applyNumberFormat="1" applyFont="1" applyFill="1" applyBorder="1"/>
    <xf numFmtId="187" fontId="127" fillId="0" borderId="0" xfId="0" applyNumberFormat="1" applyFont="1" applyAlignment="1"/>
    <xf numFmtId="191" fontId="104" fillId="0" borderId="44" xfId="0" applyNumberFormat="1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BA52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1158425</xdr:colOff>
      <xdr:row>1</xdr:row>
      <xdr:rowOff>117964</xdr:rowOff>
    </xdr:from>
    <xdr:to>
      <xdr:col>12</xdr:col>
      <xdr:colOff>386861</xdr:colOff>
      <xdr:row>2</xdr:row>
      <xdr:rowOff>84376</xdr:rowOff>
    </xdr:to>
    <xdr:sp macro="" textlink="">
      <xdr:nvSpPr>
        <xdr:cNvPr id="9" name="ลูกศรล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12377410" y="498964"/>
          <a:ext cx="1233082" cy="21845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845820</xdr:colOff>
      <xdr:row>2</xdr:row>
      <xdr:rowOff>91440</xdr:rowOff>
    </xdr:from>
    <xdr:to>
      <xdr:col>12</xdr:col>
      <xdr:colOff>1752600</xdr:colOff>
      <xdr:row>3</xdr:row>
      <xdr:rowOff>228600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3169920" y="701040"/>
          <a:ext cx="3870960" cy="37338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2000">
              <a:solidFill>
                <a:srgbClr val="FF0000"/>
              </a:solidFill>
            </a:rPr>
            <a:t>รายรับ  (ตค-กย 66)</a:t>
          </a:r>
        </a:p>
        <a:p>
          <a:pPr algn="ctr"/>
          <a:r>
            <a:rPr lang="th-TH" sz="2000">
              <a:solidFill>
                <a:srgbClr val="FF0000"/>
              </a:solidFill>
            </a:rPr>
            <a:t>66)</a:t>
          </a:r>
          <a:r>
            <a:rPr lang="en-US" sz="2000">
              <a:solidFill>
                <a:srgbClr val="FF0000"/>
              </a:solidFill>
            </a:rPr>
            <a:t>.</a:t>
          </a:r>
        </a:p>
      </xdr:txBody>
    </xdr:sp>
    <xdr:clientData/>
  </xdr:twoCellAnchor>
  <xdr:twoCellAnchor>
    <xdr:from>
      <xdr:col>10</xdr:col>
      <xdr:colOff>102229</xdr:colOff>
      <xdr:row>32</xdr:row>
      <xdr:rowOff>23707</xdr:rowOff>
    </xdr:from>
    <xdr:to>
      <xdr:col>13</xdr:col>
      <xdr:colOff>361309</xdr:colOff>
      <xdr:row>34</xdr:row>
      <xdr:rowOff>31328</xdr:rowOff>
    </xdr:to>
    <xdr:sp macro="" textlink="">
      <xdr:nvSpPr>
        <xdr:cNvPr id="19" name="วงเล็บปีกกาขวา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 rot="5400000">
          <a:off x="14764167" y="5829936"/>
          <a:ext cx="494454" cy="4312496"/>
        </a:xfrm>
        <a:prstGeom prst="rightBrace">
          <a:avLst>
            <a:gd name="adj1" fmla="val 8333"/>
            <a:gd name="adj2" fmla="val 51550"/>
          </a:avLst>
        </a:prstGeom>
        <a:solidFill>
          <a:schemeClr val="accent2">
            <a:lumMod val="60000"/>
            <a:lumOff val="40000"/>
          </a:schemeClr>
        </a:solidFill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102356</xdr:colOff>
      <xdr:row>32</xdr:row>
      <xdr:rowOff>155682</xdr:rowOff>
    </xdr:from>
    <xdr:to>
      <xdr:col>15</xdr:col>
      <xdr:colOff>9359</xdr:colOff>
      <xdr:row>76</xdr:row>
      <xdr:rowOff>9525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7837906" y="8385282"/>
          <a:ext cx="1945353" cy="14903343"/>
        </a:xfrm>
        <a:prstGeom prst="leftBrace">
          <a:avLst>
            <a:gd name="adj1" fmla="val 8333"/>
            <a:gd name="adj2" fmla="val 18451"/>
          </a:avLst>
        </a:prstGeom>
        <a:solidFill>
          <a:schemeClr val="accent2">
            <a:lumMod val="60000"/>
            <a:lumOff val="40000"/>
          </a:schemeClr>
        </a:solidFill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142875</xdr:colOff>
      <xdr:row>47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15675" cy="764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591110</xdr:colOff>
      <xdr:row>58</xdr:row>
      <xdr:rowOff>279587</xdr:rowOff>
    </xdr:from>
    <xdr:to>
      <xdr:col>3</xdr:col>
      <xdr:colOff>1439395</xdr:colOff>
      <xdr:row>62</xdr:row>
      <xdr:rowOff>165287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4801160" y="25720862"/>
          <a:ext cx="1476935" cy="10668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ลงชื่อ......................................ผู้รายงาน(นายประจักษ์ สีลาชาติ)                   ผู้อำนวยการโรงพยาบาลม่วงสามสิบ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591110</xdr:colOff>
      <xdr:row>44</xdr:row>
      <xdr:rowOff>279587</xdr:rowOff>
    </xdr:from>
    <xdr:to>
      <xdr:col>3</xdr:col>
      <xdr:colOff>1439395</xdr:colOff>
      <xdr:row>48</xdr:row>
      <xdr:rowOff>165287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4505885" y="21291737"/>
          <a:ext cx="2229410" cy="10668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ลงชื่อ......................................ผู้รายงาน(นายประจักษ์ สีลาชาติ)                   ผู้อำนวยการโรงพยาบาลม่วงสามสิบ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22679</xdr:colOff>
      <xdr:row>9</xdr:row>
      <xdr:rowOff>79375</xdr:rowOff>
    </xdr:from>
    <xdr:to>
      <xdr:col>2</xdr:col>
      <xdr:colOff>181429</xdr:colOff>
      <xdr:row>12</xdr:row>
      <xdr:rowOff>34018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3748859" y="26330275"/>
          <a:ext cx="158750" cy="45756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9"/>
  <sheetViews>
    <sheetView tabSelected="1" topLeftCell="A37" zoomScaleNormal="100" workbookViewId="0">
      <selection activeCell="K53" sqref="K53"/>
    </sheetView>
  </sheetViews>
  <sheetFormatPr defaultRowHeight="18.75" x14ac:dyDescent="0.25"/>
  <cols>
    <col min="1" max="1" width="5.5703125" style="130" customWidth="1"/>
    <col min="2" max="2" width="33.7109375" style="180" customWidth="1"/>
    <col min="3" max="3" width="24.140625" style="180" customWidth="1"/>
    <col min="4" max="4" width="20.28515625" style="180" customWidth="1"/>
    <col min="5" max="5" width="23.28515625" style="180" customWidth="1"/>
    <col min="6" max="6" width="25.42578125" style="180" customWidth="1"/>
    <col min="7" max="7" width="18.28515625" style="180" customWidth="1"/>
    <col min="8" max="8" width="6.140625" style="135" customWidth="1"/>
    <col min="9" max="9" width="33.85546875" style="75" customWidth="1"/>
    <col min="10" max="10" width="16.5703125" style="75" customWidth="1"/>
    <col min="11" max="11" width="25.7109375" style="76" customWidth="1"/>
    <col min="12" max="12" width="3.5703125" style="75" customWidth="1"/>
    <col min="13" max="13" width="31.42578125" style="75" customWidth="1"/>
    <col min="14" max="14" width="25.85546875" style="75" customWidth="1"/>
    <col min="15" max="15" width="4.7109375" customWidth="1"/>
    <col min="16" max="16" width="60.28515625" style="261" customWidth="1"/>
    <col min="17" max="17" width="26.140625" customWidth="1"/>
    <col min="18" max="18" width="31.28515625" customWidth="1"/>
    <col min="19" max="19" width="9.140625" customWidth="1"/>
    <col min="20" max="20" width="17.5703125" customWidth="1"/>
    <col min="21" max="21" width="10.140625" style="8" bestFit="1" customWidth="1"/>
    <col min="22" max="22" width="14.7109375" customWidth="1"/>
    <col min="25" max="25" width="14" bestFit="1" customWidth="1"/>
    <col min="26" max="26" width="14" customWidth="1"/>
    <col min="27" max="27" width="13.140625" customWidth="1"/>
    <col min="30" max="30" width="16.85546875" customWidth="1"/>
  </cols>
  <sheetData>
    <row r="1" spans="2:26" ht="25.15" customHeight="1" thickTop="1" x14ac:dyDescent="0.4">
      <c r="B1" s="701" t="s">
        <v>152</v>
      </c>
      <c r="C1" s="701"/>
      <c r="D1" s="701"/>
      <c r="E1" s="173"/>
      <c r="F1" s="173"/>
      <c r="G1" s="174"/>
      <c r="I1" s="72"/>
      <c r="J1" s="73"/>
      <c r="K1" s="74"/>
      <c r="L1" s="73"/>
      <c r="M1" s="73"/>
      <c r="N1" s="73"/>
    </row>
    <row r="2" spans="2:26" ht="20.100000000000001" customHeight="1" x14ac:dyDescent="0.3">
      <c r="B2" s="393" t="s">
        <v>723</v>
      </c>
      <c r="C2" s="175"/>
      <c r="D2" s="176"/>
      <c r="E2" s="177"/>
      <c r="F2" s="407">
        <v>71422933.239999995</v>
      </c>
      <c r="G2" s="178"/>
      <c r="T2" s="405" t="s">
        <v>537</v>
      </c>
    </row>
    <row r="3" spans="2:26" ht="20.100000000000001" customHeight="1" x14ac:dyDescent="0.25">
      <c r="B3" s="394"/>
      <c r="C3" s="175"/>
      <c r="D3" s="176"/>
      <c r="E3" s="175"/>
      <c r="F3" s="177"/>
      <c r="G3" s="178"/>
      <c r="S3" t="s">
        <v>262</v>
      </c>
    </row>
    <row r="4" spans="2:26" ht="20.100000000000001" customHeight="1" thickBot="1" x14ac:dyDescent="0.4">
      <c r="B4" s="395" t="s">
        <v>4</v>
      </c>
      <c r="C4" s="179"/>
      <c r="E4" s="179"/>
      <c r="G4" s="178"/>
      <c r="M4" s="77"/>
      <c r="N4" s="75" t="s">
        <v>545</v>
      </c>
      <c r="R4" s="104"/>
      <c r="S4" s="105"/>
      <c r="T4" s="406" t="s">
        <v>538</v>
      </c>
      <c r="U4" s="106"/>
      <c r="V4" s="107"/>
    </row>
    <row r="5" spans="2:26" ht="20.100000000000001" customHeight="1" thickTop="1" x14ac:dyDescent="0.25">
      <c r="B5" s="396" t="s">
        <v>32</v>
      </c>
      <c r="C5" s="181"/>
      <c r="D5" s="182"/>
      <c r="E5" s="183">
        <v>2150830.62</v>
      </c>
      <c r="G5" s="178"/>
      <c r="I5" s="702" t="s">
        <v>516</v>
      </c>
      <c r="J5" s="702"/>
      <c r="K5" s="703"/>
      <c r="M5" s="78" t="s">
        <v>143</v>
      </c>
      <c r="N5" s="79"/>
      <c r="T5" s="15" t="s">
        <v>539</v>
      </c>
    </row>
    <row r="6" spans="2:26" ht="20.100000000000001" customHeight="1" x14ac:dyDescent="0.35">
      <c r="B6" s="396" t="s">
        <v>40</v>
      </c>
      <c r="C6" s="184"/>
      <c r="D6" s="185"/>
      <c r="E6" s="185">
        <v>9015108.5800000001</v>
      </c>
      <c r="F6" s="179"/>
      <c r="G6" s="178"/>
      <c r="I6" s="82" t="s">
        <v>144</v>
      </c>
      <c r="J6" s="82"/>
      <c r="K6" s="83">
        <v>24536823.84</v>
      </c>
      <c r="M6" s="81" t="s">
        <v>162</v>
      </c>
      <c r="N6" s="80"/>
      <c r="Q6" s="51"/>
      <c r="R6" s="48"/>
      <c r="S6" s="49"/>
      <c r="T6" s="49" t="s">
        <v>540</v>
      </c>
      <c r="U6" s="50"/>
      <c r="V6" s="62"/>
      <c r="W6" s="49"/>
    </row>
    <row r="7" spans="2:26" ht="20.100000000000001" customHeight="1" x14ac:dyDescent="0.35">
      <c r="B7" s="396" t="s">
        <v>78</v>
      </c>
      <c r="C7" s="181"/>
      <c r="D7" s="186"/>
      <c r="E7" s="183">
        <v>137117.72</v>
      </c>
      <c r="F7" s="179"/>
      <c r="G7" s="178"/>
      <c r="I7" s="82" t="s">
        <v>145</v>
      </c>
      <c r="J7" s="82"/>
      <c r="K7" s="83">
        <f>6063235.34+6292411.3</f>
        <v>12355646.640000001</v>
      </c>
      <c r="M7" s="84" t="s">
        <v>64</v>
      </c>
      <c r="N7" s="85">
        <v>1002577</v>
      </c>
      <c r="Q7" s="51"/>
      <c r="R7" s="48"/>
      <c r="S7" s="49"/>
      <c r="T7" s="49" t="s">
        <v>541</v>
      </c>
      <c r="U7" s="50"/>
      <c r="V7" s="62"/>
      <c r="W7" s="49"/>
    </row>
    <row r="8" spans="2:26" ht="20.100000000000001" customHeight="1" x14ac:dyDescent="0.35">
      <c r="B8" s="397" t="s">
        <v>79</v>
      </c>
      <c r="C8" s="181"/>
      <c r="D8" s="186"/>
      <c r="E8" s="183">
        <v>1677304.5</v>
      </c>
      <c r="F8" s="179"/>
      <c r="G8" s="178"/>
      <c r="I8" s="82" t="s">
        <v>146</v>
      </c>
      <c r="J8" s="82"/>
      <c r="K8" s="83">
        <v>3495471</v>
      </c>
      <c r="M8" s="84" t="s">
        <v>65</v>
      </c>
      <c r="N8" s="85">
        <v>306966.5</v>
      </c>
      <c r="Q8" s="52"/>
      <c r="R8" s="48"/>
      <c r="S8" s="49"/>
      <c r="T8" s="49" t="s">
        <v>542</v>
      </c>
      <c r="U8" s="50"/>
      <c r="V8" s="62"/>
      <c r="W8" s="49"/>
    </row>
    <row r="9" spans="2:26" ht="20.100000000000001" customHeight="1" x14ac:dyDescent="0.25">
      <c r="B9" s="396" t="s">
        <v>623</v>
      </c>
      <c r="E9" s="738">
        <v>74000</v>
      </c>
      <c r="I9" s="82" t="s">
        <v>147</v>
      </c>
      <c r="J9" s="82"/>
      <c r="K9" s="83"/>
      <c r="M9" s="84" t="s">
        <v>551</v>
      </c>
      <c r="N9" s="85">
        <v>206765</v>
      </c>
      <c r="Q9" s="52"/>
      <c r="R9" s="48"/>
      <c r="S9" s="49"/>
      <c r="T9" s="49" t="s">
        <v>543</v>
      </c>
      <c r="U9" s="50"/>
      <c r="V9" s="62"/>
      <c r="W9" s="49"/>
    </row>
    <row r="10" spans="2:26" ht="20.100000000000001" customHeight="1" x14ac:dyDescent="0.25">
      <c r="B10" s="396" t="s">
        <v>619</v>
      </c>
      <c r="E10" s="524">
        <v>80188.06</v>
      </c>
      <c r="I10" s="86" t="s">
        <v>148</v>
      </c>
      <c r="J10" s="86"/>
      <c r="K10" s="87">
        <v>1770686.36</v>
      </c>
      <c r="M10" s="84" t="s">
        <v>67</v>
      </c>
      <c r="N10" s="85">
        <v>4304021.09</v>
      </c>
      <c r="Q10" s="51"/>
      <c r="R10" s="48"/>
      <c r="S10" s="49"/>
      <c r="T10" s="49" t="s">
        <v>544</v>
      </c>
      <c r="U10" s="50"/>
      <c r="V10" s="62"/>
      <c r="W10" s="49"/>
      <c r="Z10" s="63"/>
    </row>
    <row r="11" spans="2:26" ht="20.100000000000001" customHeight="1" x14ac:dyDescent="0.25">
      <c r="I11" s="86" t="s">
        <v>149</v>
      </c>
      <c r="J11" s="86"/>
      <c r="K11" s="87">
        <v>37192</v>
      </c>
      <c r="M11" s="84" t="s">
        <v>66</v>
      </c>
      <c r="N11" s="85">
        <v>10569861.199999999</v>
      </c>
      <c r="Q11" s="51"/>
      <c r="R11" s="48"/>
      <c r="S11" s="49"/>
      <c r="T11" s="49"/>
      <c r="U11" s="50"/>
      <c r="V11" s="62"/>
      <c r="W11" s="49"/>
    </row>
    <row r="12" spans="2:26" ht="20.100000000000001" customHeight="1" x14ac:dyDescent="0.35">
      <c r="D12" s="398"/>
      <c r="E12" s="739">
        <f>SUM(E5:E11)</f>
        <v>13134549.48</v>
      </c>
      <c r="G12" s="178"/>
      <c r="I12" s="88" t="s">
        <v>345</v>
      </c>
      <c r="J12" s="88"/>
      <c r="K12" s="89">
        <v>25898354.629999999</v>
      </c>
      <c r="M12" s="84" t="s">
        <v>547</v>
      </c>
      <c r="N12" s="85">
        <f>759826.66+705133</f>
        <v>1464959.6600000001</v>
      </c>
      <c r="Q12" s="52"/>
      <c r="R12" s="48"/>
      <c r="S12" s="49"/>
      <c r="T12" s="49"/>
      <c r="U12" s="50"/>
      <c r="V12" s="62"/>
      <c r="W12" s="49"/>
    </row>
    <row r="13" spans="2:26" ht="20.100000000000001" customHeight="1" x14ac:dyDescent="0.25">
      <c r="B13" s="395" t="s">
        <v>550</v>
      </c>
      <c r="D13" s="182"/>
      <c r="E13" s="182"/>
      <c r="G13" s="178"/>
      <c r="I13" s="90" t="s">
        <v>150</v>
      </c>
      <c r="J13" s="90"/>
      <c r="K13" s="691">
        <v>12659841.59</v>
      </c>
      <c r="M13" s="84" t="s">
        <v>69</v>
      </c>
      <c r="N13" s="85">
        <v>1337406.07</v>
      </c>
      <c r="Q13" s="52"/>
      <c r="R13" s="48"/>
      <c r="S13" s="49"/>
      <c r="T13" s="49"/>
      <c r="U13" s="50"/>
      <c r="V13" s="62"/>
      <c r="W13" s="49"/>
    </row>
    <row r="14" spans="2:26" ht="20.100000000000001" customHeight="1" x14ac:dyDescent="0.35">
      <c r="B14" s="396" t="s">
        <v>685</v>
      </c>
      <c r="C14" s="181"/>
      <c r="D14" s="929">
        <v>3585196</v>
      </c>
      <c r="E14" s="185">
        <v>3585196</v>
      </c>
      <c r="F14" s="179"/>
      <c r="G14" s="178"/>
      <c r="I14" s="90" t="s">
        <v>153</v>
      </c>
      <c r="J14" s="92"/>
      <c r="K14" s="93"/>
      <c r="M14" s="84" t="s">
        <v>68</v>
      </c>
      <c r="N14" s="85">
        <v>2071332.57</v>
      </c>
      <c r="Q14" s="51"/>
      <c r="R14" s="48"/>
      <c r="S14" s="49"/>
      <c r="T14" s="49"/>
      <c r="U14" s="50"/>
      <c r="V14" s="62"/>
      <c r="W14" s="49"/>
    </row>
    <row r="15" spans="2:26" ht="20.100000000000001" customHeight="1" x14ac:dyDescent="0.35">
      <c r="B15" s="396" t="s">
        <v>686</v>
      </c>
      <c r="C15" s="181"/>
      <c r="D15" s="929">
        <v>936900</v>
      </c>
      <c r="E15" s="185">
        <v>936900</v>
      </c>
      <c r="F15" s="179"/>
      <c r="G15" s="178"/>
      <c r="I15" s="108" t="s">
        <v>59</v>
      </c>
      <c r="J15" s="92"/>
      <c r="K15" s="94">
        <v>22253.279999999999</v>
      </c>
      <c r="M15" s="91" t="s">
        <v>101</v>
      </c>
      <c r="N15" s="85">
        <v>241120.75</v>
      </c>
      <c r="Q15" s="51"/>
      <c r="R15" s="48"/>
      <c r="S15" s="49"/>
      <c r="T15" s="49"/>
      <c r="U15" s="50"/>
      <c r="V15" s="62"/>
      <c r="W15" s="49"/>
    </row>
    <row r="16" spans="2:26" ht="20.100000000000001" customHeight="1" x14ac:dyDescent="0.35">
      <c r="B16" s="396" t="s">
        <v>687</v>
      </c>
      <c r="C16" s="181"/>
      <c r="D16" s="929">
        <v>432644</v>
      </c>
      <c r="E16" s="185">
        <v>432644</v>
      </c>
      <c r="F16" s="179"/>
      <c r="G16" s="178"/>
      <c r="I16" s="108" t="s">
        <v>60</v>
      </c>
      <c r="J16" s="92"/>
      <c r="K16" s="94">
        <v>66994</v>
      </c>
      <c r="M16" s="84" t="s">
        <v>102</v>
      </c>
      <c r="N16" s="85">
        <v>767253</v>
      </c>
      <c r="Q16" s="52"/>
      <c r="R16" s="48"/>
      <c r="S16" s="50"/>
      <c r="T16" s="49"/>
      <c r="U16" s="50"/>
      <c r="V16" s="62"/>
      <c r="W16" s="49"/>
    </row>
    <row r="17" spans="1:30" ht="20.100000000000001" customHeight="1" x14ac:dyDescent="0.35">
      <c r="B17" s="396" t="s">
        <v>688</v>
      </c>
      <c r="C17" s="188"/>
      <c r="D17" s="930">
        <v>18000000</v>
      </c>
      <c r="E17" s="184">
        <v>18000000</v>
      </c>
      <c r="F17" s="179"/>
      <c r="G17" s="178"/>
      <c r="I17" s="108" t="s">
        <v>61</v>
      </c>
      <c r="J17" s="92"/>
      <c r="K17" s="94">
        <f>33765502.2+28863730.01</f>
        <v>62629232.210000008</v>
      </c>
      <c r="M17" s="95" t="s">
        <v>70</v>
      </c>
      <c r="N17" s="85">
        <v>7970000.2000000002</v>
      </c>
      <c r="Q17" s="133"/>
      <c r="R17" s="48"/>
      <c r="S17" s="49"/>
      <c r="T17" s="49"/>
      <c r="U17" s="50"/>
      <c r="V17" s="62"/>
      <c r="W17" s="49"/>
    </row>
    <row r="18" spans="1:30" ht="20.100000000000001" customHeight="1" x14ac:dyDescent="0.35">
      <c r="B18" s="396" t="s">
        <v>689</v>
      </c>
      <c r="C18" s="188"/>
      <c r="D18" s="929">
        <f>SUM(930000*3)</f>
        <v>2790000</v>
      </c>
      <c r="E18" s="185">
        <f>SUM(930000*3)</f>
        <v>2790000</v>
      </c>
      <c r="F18" s="179"/>
      <c r="G18" s="178"/>
      <c r="I18" s="108" t="s">
        <v>62</v>
      </c>
      <c r="J18" s="92"/>
      <c r="K18" s="94">
        <v>3770</v>
      </c>
      <c r="M18" s="84" t="s">
        <v>71</v>
      </c>
      <c r="N18" s="85">
        <v>309300</v>
      </c>
      <c r="Q18" s="49"/>
      <c r="R18" s="48"/>
      <c r="S18" s="49"/>
      <c r="T18" s="49"/>
      <c r="U18" s="50"/>
      <c r="V18" s="62"/>
      <c r="W18" s="49"/>
    </row>
    <row r="19" spans="1:30" ht="20.100000000000001" customHeight="1" x14ac:dyDescent="0.35">
      <c r="B19" s="397" t="s">
        <v>534</v>
      </c>
      <c r="C19" s="188"/>
      <c r="D19" s="189"/>
      <c r="E19" s="185">
        <v>0</v>
      </c>
      <c r="G19" s="178"/>
      <c r="I19" s="108" t="s">
        <v>63</v>
      </c>
      <c r="J19" s="92"/>
      <c r="K19" s="94">
        <f>319569.66+263202.28+504970</f>
        <v>1087741.94</v>
      </c>
      <c r="M19" s="91" t="s">
        <v>72</v>
      </c>
      <c r="N19" s="85">
        <v>92675</v>
      </c>
      <c r="P19" s="262"/>
      <c r="Q19" s="49"/>
      <c r="R19" s="48"/>
      <c r="S19" s="49"/>
      <c r="T19" s="49"/>
      <c r="U19" s="50"/>
      <c r="V19" s="50"/>
      <c r="W19" s="49"/>
    </row>
    <row r="20" spans="1:30" ht="20.100000000000001" customHeight="1" x14ac:dyDescent="0.35">
      <c r="B20" s="397" t="s">
        <v>535</v>
      </c>
      <c r="C20" s="188"/>
      <c r="D20" s="189"/>
      <c r="E20" s="185">
        <v>0</v>
      </c>
      <c r="G20" s="178"/>
      <c r="I20" s="109" t="s">
        <v>74</v>
      </c>
      <c r="J20" s="92"/>
      <c r="K20" s="94">
        <v>1157550</v>
      </c>
      <c r="M20" s="84" t="s">
        <v>73</v>
      </c>
      <c r="N20" s="85">
        <v>1050075.2</v>
      </c>
      <c r="P20" s="262"/>
      <c r="Q20" s="49"/>
      <c r="R20" s="49"/>
      <c r="S20" s="50"/>
      <c r="T20" s="49"/>
      <c r="U20" s="50"/>
      <c r="V20" s="62"/>
      <c r="W20" s="49"/>
    </row>
    <row r="21" spans="1:30" ht="20.100000000000001" customHeight="1" x14ac:dyDescent="0.25">
      <c r="B21" s="182" t="s">
        <v>632</v>
      </c>
      <c r="E21" s="185">
        <v>0</v>
      </c>
      <c r="G21" s="178"/>
      <c r="I21" s="108" t="s">
        <v>76</v>
      </c>
      <c r="J21" s="92"/>
      <c r="K21" s="94">
        <v>4494920</v>
      </c>
      <c r="M21" s="96" t="s">
        <v>93</v>
      </c>
      <c r="N21" s="85">
        <f>139396.5+775566.24+12983+256210</f>
        <v>1184155.74</v>
      </c>
      <c r="P21" s="263"/>
      <c r="Q21" s="62"/>
      <c r="R21" s="49"/>
      <c r="S21" s="50"/>
      <c r="T21" s="49"/>
      <c r="U21" s="50"/>
      <c r="V21" s="62"/>
      <c r="W21" s="49"/>
    </row>
    <row r="22" spans="1:30" ht="20.100000000000001" customHeight="1" x14ac:dyDescent="0.35">
      <c r="B22" s="531"/>
      <c r="C22" s="415"/>
      <c r="D22" s="498"/>
      <c r="E22" s="692"/>
      <c r="F22" s="525"/>
      <c r="G22" s="178"/>
      <c r="I22" s="108" t="s">
        <v>75</v>
      </c>
      <c r="J22" s="92"/>
      <c r="K22" s="94">
        <v>544805.53</v>
      </c>
      <c r="M22" s="84" t="s">
        <v>103</v>
      </c>
      <c r="N22" s="85">
        <v>14871</v>
      </c>
      <c r="P22" s="262"/>
      <c r="Q22" s="122"/>
      <c r="R22" s="49"/>
      <c r="S22" s="50"/>
      <c r="T22" s="49"/>
      <c r="U22" s="50"/>
      <c r="V22" s="49"/>
      <c r="W22" s="49"/>
      <c r="Y22" s="18"/>
      <c r="Z22" s="18"/>
    </row>
    <row r="23" spans="1:30" ht="20.100000000000001" customHeight="1" x14ac:dyDescent="0.4">
      <c r="B23" s="412"/>
      <c r="C23" s="413"/>
      <c r="D23" s="414"/>
      <c r="E23" s="190"/>
      <c r="G23" s="178"/>
      <c r="I23" s="108" t="s">
        <v>77</v>
      </c>
      <c r="J23" s="92"/>
      <c r="K23" s="94"/>
      <c r="M23" s="84" t="s">
        <v>104</v>
      </c>
      <c r="N23" s="85"/>
      <c r="P23" s="262"/>
      <c r="Q23" s="18"/>
      <c r="R23" s="15"/>
      <c r="Z23" s="18"/>
      <c r="AA23" s="18"/>
    </row>
    <row r="24" spans="1:30" ht="20.100000000000001" customHeight="1" x14ac:dyDescent="0.35">
      <c r="B24" s="399"/>
      <c r="C24" s="188"/>
      <c r="D24" s="191"/>
      <c r="E24" s="740">
        <f>SUM(E14:E23)</f>
        <v>25744740</v>
      </c>
      <c r="G24" s="178"/>
      <c r="I24" s="108" t="s">
        <v>92</v>
      </c>
      <c r="J24" s="92"/>
      <c r="K24" s="94">
        <v>3400000</v>
      </c>
      <c r="M24" s="81" t="s">
        <v>154</v>
      </c>
      <c r="N24" s="80">
        <v>3646236.77</v>
      </c>
      <c r="P24" s="262"/>
      <c r="Q24" s="18"/>
      <c r="R24" s="64"/>
    </row>
    <row r="25" spans="1:30" ht="20.25" x14ac:dyDescent="0.35">
      <c r="B25" s="269" t="s">
        <v>7</v>
      </c>
      <c r="C25" s="181"/>
      <c r="D25" s="179"/>
      <c r="E25" s="181"/>
      <c r="F25" s="192">
        <f>SUM(E12+E24)</f>
        <v>38879289.480000004</v>
      </c>
      <c r="G25" s="178"/>
      <c r="I25" s="108" t="s">
        <v>95</v>
      </c>
      <c r="J25" s="92"/>
      <c r="K25" s="94">
        <v>26550</v>
      </c>
      <c r="M25" s="81" t="s">
        <v>155</v>
      </c>
      <c r="N25" s="80">
        <v>2202220</v>
      </c>
      <c r="P25" s="262"/>
      <c r="Q25" s="46"/>
      <c r="R25" s="46"/>
      <c r="S25" s="46"/>
      <c r="T25" s="46"/>
      <c r="U25" s="66"/>
      <c r="V25" s="65"/>
      <c r="Z25" s="65"/>
      <c r="AA25" s="18"/>
    </row>
    <row r="26" spans="1:30" ht="20.25" x14ac:dyDescent="0.35">
      <c r="B26" s="400"/>
      <c r="C26" s="181"/>
      <c r="D26" s="179"/>
      <c r="E26" s="181"/>
      <c r="F26" s="179"/>
      <c r="G26" s="178"/>
      <c r="I26" s="108" t="s">
        <v>96</v>
      </c>
      <c r="J26" s="92"/>
      <c r="K26" s="94">
        <v>32500</v>
      </c>
      <c r="M26" s="81" t="s">
        <v>97</v>
      </c>
      <c r="N26" s="80">
        <v>137660</v>
      </c>
      <c r="O26" s="63"/>
      <c r="P26" s="262"/>
      <c r="Q26" s="46"/>
      <c r="R26" s="46"/>
      <c r="S26" s="46"/>
      <c r="T26" s="46"/>
      <c r="U26" s="66"/>
      <c r="V26" s="71"/>
      <c r="Z26" s="65"/>
    </row>
    <row r="27" spans="1:30" ht="24" thickBot="1" x14ac:dyDescent="0.6">
      <c r="B27" s="401" t="s">
        <v>36</v>
      </c>
      <c r="C27" s="193"/>
      <c r="D27" s="194"/>
      <c r="E27" s="193"/>
      <c r="F27" s="245">
        <f>SUM(F2-F25)</f>
        <v>32543643.75999999</v>
      </c>
      <c r="I27" s="108" t="s">
        <v>105</v>
      </c>
      <c r="J27" s="92"/>
      <c r="K27" s="97"/>
      <c r="M27" s="81" t="s">
        <v>157</v>
      </c>
      <c r="N27" s="80">
        <v>418043.96</v>
      </c>
      <c r="O27" s="63"/>
      <c r="P27" s="262"/>
      <c r="Q27" s="46"/>
      <c r="R27" s="46"/>
      <c r="S27" s="46"/>
      <c r="T27" s="46"/>
      <c r="U27" s="66"/>
      <c r="V27" s="71"/>
      <c r="Z27" s="65"/>
      <c r="AD27" s="18"/>
    </row>
    <row r="28" spans="1:30" ht="19.5" thickTop="1" x14ac:dyDescent="0.25">
      <c r="I28" s="108" t="s">
        <v>106</v>
      </c>
      <c r="J28" s="98"/>
      <c r="K28" s="99">
        <v>1047.95</v>
      </c>
      <c r="M28" s="81" t="s">
        <v>156</v>
      </c>
      <c r="N28" s="80">
        <v>282074.77</v>
      </c>
      <c r="O28" s="63"/>
      <c r="Q28" s="46"/>
      <c r="R28" s="46"/>
      <c r="S28" s="46"/>
      <c r="T28" s="46"/>
      <c r="U28" s="66"/>
      <c r="V28" s="65"/>
      <c r="Z28" s="65"/>
    </row>
    <row r="29" spans="1:30" ht="20.100000000000001" customHeight="1" x14ac:dyDescent="0.4">
      <c r="B29" s="530" t="s">
        <v>724</v>
      </c>
      <c r="C29" s="527"/>
      <c r="D29" s="528"/>
      <c r="E29" s="527">
        <v>42000000</v>
      </c>
      <c r="F29" s="693">
        <v>21000000</v>
      </c>
      <c r="G29" s="529"/>
      <c r="I29" s="108" t="s">
        <v>517</v>
      </c>
      <c r="J29" s="98"/>
      <c r="K29" s="99">
        <v>5659024.54</v>
      </c>
      <c r="M29" s="81" t="s">
        <v>349</v>
      </c>
      <c r="N29" s="80">
        <v>1823976.34</v>
      </c>
      <c r="O29" s="63"/>
      <c r="Q29" s="46"/>
      <c r="R29" s="46"/>
      <c r="V29" s="65"/>
      <c r="Z29" s="65"/>
    </row>
    <row r="30" spans="1:30" ht="21.75" customHeight="1" x14ac:dyDescent="0.55000000000000004">
      <c r="A30" s="365"/>
      <c r="B30" s="563"/>
      <c r="C30" s="344"/>
      <c r="D30" s="115"/>
      <c r="E30" s="565"/>
      <c r="F30"/>
      <c r="G30" s="529"/>
      <c r="I30" s="108" t="s">
        <v>546</v>
      </c>
      <c r="J30" s="100"/>
      <c r="K30" s="85">
        <v>285452.09999999998</v>
      </c>
      <c r="L30" s="90"/>
      <c r="M30" s="81" t="s">
        <v>347</v>
      </c>
      <c r="N30" s="80">
        <f>2231791.6+80547+1876510.18+0.86</f>
        <v>4188849.64</v>
      </c>
      <c r="O30" s="63"/>
      <c r="Q30" s="46"/>
      <c r="R30" s="46"/>
      <c r="V30" s="18"/>
      <c r="Z30" s="18"/>
    </row>
    <row r="31" spans="1:30" ht="20.100000000000001" customHeight="1" x14ac:dyDescent="0.6">
      <c r="B31" s="563"/>
      <c r="C31" s="416"/>
      <c r="D31" s="366"/>
      <c r="E31" s="564"/>
      <c r="F31" s="244"/>
      <c r="G31" s="178"/>
      <c r="H31"/>
      <c r="I31"/>
      <c r="J31"/>
      <c r="K31"/>
      <c r="L31"/>
      <c r="M31" s="81"/>
      <c r="N31" s="80"/>
      <c r="P31"/>
      <c r="U31"/>
    </row>
    <row r="32" spans="1:30" ht="26.25" customHeight="1" thickBot="1" x14ac:dyDescent="0.45">
      <c r="B32" s="367"/>
      <c r="C32" s="383" t="s">
        <v>98</v>
      </c>
      <c r="D32" s="191"/>
      <c r="E32" s="184"/>
      <c r="F32" s="382">
        <f>SUM(F27-F29)</f>
        <v>11543643.75999999</v>
      </c>
      <c r="G32" s="178"/>
      <c r="I32" s="249" t="s">
        <v>151</v>
      </c>
      <c r="J32" s="252"/>
      <c r="K32" s="250">
        <f>SUM(K6:K31)</f>
        <v>160165857.60999998</v>
      </c>
      <c r="M32" s="251" t="s">
        <v>151</v>
      </c>
      <c r="N32" s="250">
        <f>SUM(N6:N31)</f>
        <v>45592401.460000008</v>
      </c>
      <c r="O32" s="65"/>
      <c r="Q32" s="46"/>
      <c r="R32" s="46"/>
      <c r="V32" s="65"/>
      <c r="Z32" s="65"/>
    </row>
    <row r="33" spans="2:30" ht="22.5" customHeight="1" thickTop="1" x14ac:dyDescent="0.55000000000000004">
      <c r="B33" s="68"/>
      <c r="C33" s="68"/>
      <c r="D33" s="68"/>
      <c r="E33" s="68"/>
      <c r="F33" s="68"/>
      <c r="G33" s="178"/>
      <c r="I33" s="101"/>
      <c r="O33" s="63"/>
      <c r="P33" s="696" t="s">
        <v>684</v>
      </c>
      <c r="Q33" s="697"/>
      <c r="R33" s="698"/>
    </row>
    <row r="34" spans="2:30" ht="21.75" customHeight="1" x14ac:dyDescent="0.55000000000000004">
      <c r="B34" s="195" t="s">
        <v>142</v>
      </c>
      <c r="C34" s="196"/>
      <c r="D34" s="368"/>
      <c r="E34" s="368"/>
      <c r="F34" s="368"/>
      <c r="G34" s="199"/>
      <c r="I34" s="699" t="s">
        <v>275</v>
      </c>
      <c r="J34" s="110"/>
      <c r="K34" s="704">
        <f>SUM(K32+N32)</f>
        <v>205758259.06999999</v>
      </c>
      <c r="L34" s="704"/>
      <c r="M34" s="704"/>
      <c r="O34" s="63"/>
      <c r="P34" s="270" t="s">
        <v>351</v>
      </c>
      <c r="Q34" s="272"/>
      <c r="R34" s="358">
        <f>SUM(Q35:Q51)</f>
        <v>105625960.23999999</v>
      </c>
      <c r="Y34" s="18"/>
      <c r="AD34" s="18"/>
    </row>
    <row r="35" spans="2:30" ht="23.25" customHeight="1" x14ac:dyDescent="0.55000000000000004">
      <c r="B35" s="517" t="s">
        <v>1</v>
      </c>
      <c r="C35" s="518" t="s">
        <v>692</v>
      </c>
      <c r="D35" s="517" t="s">
        <v>161</v>
      </c>
      <c r="E35" s="369"/>
      <c r="F35" s="370"/>
      <c r="G35" s="199"/>
      <c r="I35" s="699"/>
      <c r="J35" s="110"/>
      <c r="K35" s="704"/>
      <c r="L35" s="704"/>
      <c r="M35" s="704"/>
      <c r="O35" s="63"/>
      <c r="P35" s="264" t="s">
        <v>331</v>
      </c>
      <c r="Q35" s="253">
        <v>22290611.739999998</v>
      </c>
      <c r="R35" s="254"/>
      <c r="Y35" s="18"/>
      <c r="AD35" s="18"/>
    </row>
    <row r="36" spans="2:30" ht="20.25" customHeight="1" x14ac:dyDescent="0.25">
      <c r="B36" s="379" t="s">
        <v>8</v>
      </c>
      <c r="C36" s="384">
        <v>5434565.9199999999</v>
      </c>
      <c r="D36" s="386">
        <f>SUM(C36*75/100)</f>
        <v>4075924.44</v>
      </c>
      <c r="E36" s="371"/>
      <c r="F36" s="368"/>
      <c r="G36" s="178"/>
      <c r="I36" s="700" t="s">
        <v>276</v>
      </c>
      <c r="K36" s="705">
        <v>75367994.349999994</v>
      </c>
      <c r="L36" s="705"/>
      <c r="M36" s="705"/>
      <c r="N36" s="76"/>
      <c r="O36" s="63"/>
      <c r="P36" s="264" t="s">
        <v>332</v>
      </c>
      <c r="Q36" s="253">
        <v>8760504.0299999993</v>
      </c>
      <c r="R36" s="254"/>
      <c r="Y36" s="18"/>
      <c r="AD36" s="18"/>
    </row>
    <row r="37" spans="2:30" ht="20.25" customHeight="1" x14ac:dyDescent="0.55000000000000004">
      <c r="B37" s="380" t="s">
        <v>9</v>
      </c>
      <c r="C37" s="384">
        <v>1814531.5</v>
      </c>
      <c r="D37" s="386">
        <f t="shared" ref="D37:D44" si="0">SUM(C37*75/100)</f>
        <v>1360898.625</v>
      </c>
      <c r="E37" s="371"/>
      <c r="F37" s="368"/>
      <c r="G37" s="200"/>
      <c r="I37" s="700"/>
      <c r="K37" s="705"/>
      <c r="L37" s="705"/>
      <c r="M37" s="705"/>
      <c r="O37" s="63"/>
      <c r="P37" s="264" t="s">
        <v>333</v>
      </c>
      <c r="Q37" s="253">
        <v>9315625.6899999995</v>
      </c>
      <c r="R37" s="254"/>
      <c r="Y37" s="18"/>
    </row>
    <row r="38" spans="2:30" ht="30.75" customHeight="1" x14ac:dyDescent="0.25">
      <c r="B38" s="380" t="s">
        <v>10</v>
      </c>
      <c r="C38" s="384">
        <v>1729448.5</v>
      </c>
      <c r="D38" s="386">
        <f t="shared" si="0"/>
        <v>1297086.375</v>
      </c>
      <c r="E38" s="371"/>
      <c r="F38" s="368"/>
      <c r="I38" s="248" t="s">
        <v>348</v>
      </c>
      <c r="K38" s="708">
        <f>68063.9+291481+149186+1003646+248472.98</f>
        <v>1760849.88</v>
      </c>
      <c r="L38" s="708"/>
      <c r="M38" s="708"/>
      <c r="P38" s="264" t="s">
        <v>334</v>
      </c>
      <c r="Q38" s="253">
        <v>1752695.59</v>
      </c>
      <c r="R38" s="254"/>
    </row>
    <row r="39" spans="2:30" ht="30.75" customHeight="1" x14ac:dyDescent="0.25">
      <c r="B39" s="380" t="s">
        <v>11</v>
      </c>
      <c r="C39" s="384">
        <v>403427.68</v>
      </c>
      <c r="D39" s="386">
        <f t="shared" si="0"/>
        <v>302570.76</v>
      </c>
      <c r="E39" s="371"/>
      <c r="F39" s="368"/>
      <c r="I39" s="246" t="s">
        <v>159</v>
      </c>
      <c r="J39" s="247"/>
      <c r="K39" s="709">
        <f>SUM(K34:M38)</f>
        <v>282887103.29999995</v>
      </c>
      <c r="L39" s="709"/>
      <c r="M39" s="709"/>
      <c r="N39" s="118"/>
      <c r="P39" s="264" t="s">
        <v>335</v>
      </c>
      <c r="Q39" s="253">
        <v>2609165.34</v>
      </c>
      <c r="R39" s="255"/>
      <c r="V39" s="15"/>
    </row>
    <row r="40" spans="2:30" ht="23.25" customHeight="1" x14ac:dyDescent="0.25">
      <c r="B40" s="380" t="s">
        <v>21</v>
      </c>
      <c r="C40" s="384">
        <f>488846.25+360+30511+47885+1000553.62</f>
        <v>1568155.87</v>
      </c>
      <c r="D40" s="386">
        <f t="shared" si="0"/>
        <v>1176116.9025000001</v>
      </c>
      <c r="E40" s="371"/>
      <c r="F40" s="368"/>
      <c r="I40" s="700" t="s">
        <v>277</v>
      </c>
      <c r="J40" s="22"/>
      <c r="K40" s="705">
        <f>SUM(R34+R52+R62)</f>
        <v>211464170.06</v>
      </c>
      <c r="L40" s="705"/>
      <c r="M40" s="705"/>
      <c r="P40" s="264" t="s">
        <v>336</v>
      </c>
      <c r="Q40" s="253">
        <v>12154365.73</v>
      </c>
      <c r="R40" s="256"/>
    </row>
    <row r="41" spans="2:30" ht="23.25" customHeight="1" x14ac:dyDescent="0.25">
      <c r="B41" s="380" t="s">
        <v>99</v>
      </c>
      <c r="C41" s="384">
        <f>19999+3400</f>
        <v>23399</v>
      </c>
      <c r="D41" s="386">
        <f t="shared" si="0"/>
        <v>17549.25</v>
      </c>
      <c r="E41" s="368"/>
      <c r="F41" s="368"/>
      <c r="I41" s="700"/>
      <c r="J41" s="21"/>
      <c r="K41" s="705"/>
      <c r="L41" s="705"/>
      <c r="M41" s="705"/>
      <c r="P41" s="264" t="s">
        <v>337</v>
      </c>
      <c r="Q41" s="360">
        <f>11236450.77+3146157.17+450747.66</f>
        <v>14833355.6</v>
      </c>
      <c r="R41" s="256"/>
    </row>
    <row r="42" spans="2:30" ht="23.25" customHeight="1" x14ac:dyDescent="0.25">
      <c r="B42" s="380" t="s">
        <v>122</v>
      </c>
      <c r="C42" s="384">
        <v>304754.84999999998</v>
      </c>
      <c r="D42" s="386">
        <f t="shared" si="0"/>
        <v>228566.13750000001</v>
      </c>
      <c r="E42" s="368"/>
      <c r="F42" s="368"/>
      <c r="I42" s="706" t="s">
        <v>699</v>
      </c>
      <c r="J42" s="111"/>
      <c r="K42" s="707">
        <f>SUM(K39-K40)</f>
        <v>71422933.23999995</v>
      </c>
      <c r="L42" s="707"/>
      <c r="M42" s="707"/>
      <c r="P42" s="264" t="s">
        <v>338</v>
      </c>
      <c r="Q42" s="360">
        <v>8531347.5600000005</v>
      </c>
      <c r="R42" s="256"/>
    </row>
    <row r="43" spans="2:30" ht="27.75" customHeight="1" x14ac:dyDescent="0.25">
      <c r="B43" s="380" t="s">
        <v>94</v>
      </c>
      <c r="C43" s="384">
        <f>19999+3400</f>
        <v>23399</v>
      </c>
      <c r="D43" s="386">
        <f t="shared" si="0"/>
        <v>17549.25</v>
      </c>
      <c r="E43" s="368"/>
      <c r="F43" s="368"/>
      <c r="I43" s="706"/>
      <c r="J43" s="112"/>
      <c r="K43" s="707"/>
      <c r="L43" s="707"/>
      <c r="M43" s="707"/>
      <c r="P43" s="264" t="s">
        <v>346</v>
      </c>
      <c r="Q43" s="360">
        <f>1631310.26+835560</f>
        <v>2466870.2599999998</v>
      </c>
      <c r="R43" s="256"/>
      <c r="U43" s="47" t="s">
        <v>536</v>
      </c>
    </row>
    <row r="44" spans="2:30" ht="23.25" x14ac:dyDescent="0.25">
      <c r="B44" s="380" t="s">
        <v>120</v>
      </c>
      <c r="C44" s="384">
        <v>51476.3</v>
      </c>
      <c r="D44" s="386">
        <f t="shared" si="0"/>
        <v>38607.224999999999</v>
      </c>
      <c r="E44" s="371"/>
      <c r="F44" s="368"/>
      <c r="I44" s="101"/>
      <c r="P44" s="265" t="s">
        <v>552</v>
      </c>
      <c r="Q44" s="253">
        <f>2433773.28+230401.95</f>
        <v>2664175.23</v>
      </c>
      <c r="R44" s="256"/>
    </row>
    <row r="45" spans="2:30" ht="18.75" customHeight="1" x14ac:dyDescent="0.25">
      <c r="B45" s="380" t="s">
        <v>119</v>
      </c>
      <c r="C45" s="384">
        <v>214435</v>
      </c>
      <c r="D45" s="386">
        <f>SUM(C45*75/100)</f>
        <v>160826.25</v>
      </c>
      <c r="E45" s="371"/>
      <c r="F45" s="371"/>
      <c r="I45" s="46"/>
      <c r="J45" s="56"/>
      <c r="K45" s="511"/>
      <c r="L45" s="21"/>
      <c r="M45" s="511"/>
      <c r="P45" s="265" t="s">
        <v>339</v>
      </c>
      <c r="Q45" s="253">
        <v>281380.09999999998</v>
      </c>
      <c r="R45" s="256"/>
      <c r="T45" s="120"/>
    </row>
    <row r="46" spans="2:30" ht="23.25" x14ac:dyDescent="0.35">
      <c r="B46" s="380" t="s">
        <v>35</v>
      </c>
      <c r="C46" s="384">
        <v>1646865</v>
      </c>
      <c r="D46" s="386">
        <f t="shared" ref="D46:D49" si="1">SUM(C46*75/100)</f>
        <v>1235148.75</v>
      </c>
      <c r="E46" s="371"/>
      <c r="F46" s="371"/>
      <c r="I46" s="741" t="s">
        <v>701</v>
      </c>
      <c r="J46" s="56"/>
      <c r="K46" s="119"/>
      <c r="L46" s="21"/>
      <c r="M46" s="103"/>
      <c r="P46" s="265" t="s">
        <v>340</v>
      </c>
      <c r="Q46" s="253">
        <v>1564762.13</v>
      </c>
      <c r="R46" s="256"/>
      <c r="T46" s="18"/>
    </row>
    <row r="47" spans="2:30" ht="23.25" x14ac:dyDescent="0.35">
      <c r="B47" s="380" t="s">
        <v>121</v>
      </c>
      <c r="C47" s="384">
        <v>2713531.36</v>
      </c>
      <c r="D47" s="386">
        <f t="shared" si="1"/>
        <v>2035148.52</v>
      </c>
      <c r="E47" s="371"/>
      <c r="F47" s="371"/>
      <c r="I47" s="734" t="s">
        <v>694</v>
      </c>
      <c r="J47" s="735"/>
      <c r="K47" s="736">
        <v>207519108.94999999</v>
      </c>
      <c r="L47" s="21"/>
      <c r="M47" s="102"/>
      <c r="P47" s="264" t="s">
        <v>5</v>
      </c>
      <c r="Q47" s="253">
        <v>5421031.8200000003</v>
      </c>
      <c r="R47" s="256"/>
    </row>
    <row r="48" spans="2:30" ht="22.9" customHeight="1" x14ac:dyDescent="0.35">
      <c r="B48" s="380" t="s">
        <v>5</v>
      </c>
      <c r="C48" s="384">
        <v>987267.11</v>
      </c>
      <c r="D48" s="386">
        <f t="shared" si="1"/>
        <v>740450.33250000002</v>
      </c>
      <c r="E48" s="371"/>
      <c r="F48" s="371"/>
      <c r="I48" s="734" t="s">
        <v>695</v>
      </c>
      <c r="J48" s="735"/>
      <c r="K48" s="736">
        <v>211464170.06</v>
      </c>
      <c r="M48" s="516"/>
      <c r="P48" s="264" t="s">
        <v>341</v>
      </c>
      <c r="Q48" s="253">
        <v>1028917.62</v>
      </c>
      <c r="R48" s="256"/>
    </row>
    <row r="49" spans="1:18" ht="23.25" x14ac:dyDescent="0.35">
      <c r="B49" s="380" t="s">
        <v>726</v>
      </c>
      <c r="C49" s="931">
        <f>114900+1028500+4804.3+1485+1284+14250+307814.74+259000+22500+1394243+142583.75+8125</f>
        <v>3299489.79</v>
      </c>
      <c r="D49" s="386">
        <f t="shared" si="1"/>
        <v>2474617.3424999998</v>
      </c>
      <c r="I49" s="732" t="s">
        <v>696</v>
      </c>
      <c r="J49" s="120"/>
      <c r="K49" s="733">
        <f>SUM(K47-K48)</f>
        <v>-3945061.1100000143</v>
      </c>
      <c r="M49" s="76"/>
      <c r="P49" s="264" t="s">
        <v>548</v>
      </c>
      <c r="Q49" s="253">
        <f>86208.57+17751.94+65558.43</f>
        <v>169518.94</v>
      </c>
      <c r="R49" s="256"/>
    </row>
    <row r="50" spans="1:18" ht="23.25" x14ac:dyDescent="0.3">
      <c r="B50" s="378" t="s">
        <v>34</v>
      </c>
      <c r="C50" s="385">
        <f>SUM(C36:C49)</f>
        <v>20214746.879999999</v>
      </c>
      <c r="D50" s="404">
        <f>SUM(D36:D48)</f>
        <v>12686442.817499997</v>
      </c>
      <c r="E50" s="372"/>
      <c r="F50" s="372"/>
      <c r="H50" s="136"/>
      <c r="I50" s="76"/>
      <c r="M50" s="76"/>
      <c r="P50" s="264" t="s">
        <v>352</v>
      </c>
      <c r="Q50" s="253">
        <f>7551205.25+179170</f>
        <v>7730375.25</v>
      </c>
      <c r="R50" s="256"/>
    </row>
    <row r="51" spans="1:18" ht="23.25" x14ac:dyDescent="0.35">
      <c r="B51" s="187"/>
      <c r="C51" s="188"/>
      <c r="D51" s="179"/>
      <c r="I51" s="411"/>
      <c r="J51" s="117"/>
      <c r="M51" s="76"/>
      <c r="P51" s="264" t="s">
        <v>554</v>
      </c>
      <c r="Q51" s="253">
        <v>4051257.61</v>
      </c>
      <c r="R51" s="277"/>
    </row>
    <row r="52" spans="1:18" ht="33" x14ac:dyDescent="0.75">
      <c r="B52" s="367" t="s">
        <v>725</v>
      </c>
      <c r="C52" s="197">
        <f>SUM(F32)</f>
        <v>11543643.75999999</v>
      </c>
      <c r="D52" s="373" t="s">
        <v>100</v>
      </c>
      <c r="I52" s="63"/>
      <c r="J52" s="117"/>
      <c r="P52" s="270" t="s">
        <v>324</v>
      </c>
      <c r="Q52" s="257"/>
      <c r="R52" s="271">
        <f>SUM(Q53:Q61)</f>
        <v>44507947.539999999</v>
      </c>
    </row>
    <row r="53" spans="1:18" ht="33" x14ac:dyDescent="0.75">
      <c r="B53" s="381" t="s">
        <v>700</v>
      </c>
      <c r="C53" s="374">
        <v>13402279.859999999</v>
      </c>
      <c r="D53" s="373" t="s">
        <v>100</v>
      </c>
      <c r="P53" s="264" t="s">
        <v>325</v>
      </c>
      <c r="Q53" s="253">
        <v>11868059.039999999</v>
      </c>
      <c r="R53" s="258"/>
    </row>
    <row r="54" spans="1:18" ht="33" x14ac:dyDescent="0.75">
      <c r="B54" s="376" t="s">
        <v>160</v>
      </c>
      <c r="C54" s="374">
        <f>SUM(D50)</f>
        <v>12686442.817499997</v>
      </c>
      <c r="D54" s="373" t="s">
        <v>100</v>
      </c>
      <c r="P54" s="264" t="s">
        <v>326</v>
      </c>
      <c r="Q54" s="253">
        <v>2378978</v>
      </c>
      <c r="R54" s="258"/>
    </row>
    <row r="55" spans="1:18" ht="39.75" x14ac:dyDescent="0.9">
      <c r="B55" s="377" t="s">
        <v>524</v>
      </c>
      <c r="C55" s="375">
        <f>SUM(C52+C53-C54)</f>
        <v>12259480.802499993</v>
      </c>
      <c r="D55" s="373" t="s">
        <v>100</v>
      </c>
      <c r="P55" s="264" t="s">
        <v>327</v>
      </c>
      <c r="Q55" s="253">
        <v>4379594.4800000004</v>
      </c>
      <c r="R55" s="258"/>
    </row>
    <row r="56" spans="1:18" ht="39.75" x14ac:dyDescent="0.9">
      <c r="B56" s="377"/>
      <c r="C56" s="375"/>
      <c r="D56" s="373"/>
      <c r="I56"/>
      <c r="J56" s="62"/>
      <c r="P56" s="264" t="s">
        <v>328</v>
      </c>
      <c r="Q56" s="253">
        <v>3090815.29</v>
      </c>
      <c r="R56" s="258"/>
    </row>
    <row r="57" spans="1:18" ht="39.75" x14ac:dyDescent="0.9">
      <c r="A57" s="519" t="s">
        <v>697</v>
      </c>
      <c r="B57" s="377"/>
      <c r="C57" s="375"/>
      <c r="D57" s="373"/>
      <c r="I57" s="15"/>
      <c r="J57" s="62"/>
      <c r="M57" s="409"/>
      <c r="P57" s="264" t="s">
        <v>329</v>
      </c>
      <c r="Q57" s="253">
        <v>70000</v>
      </c>
      <c r="R57" s="258"/>
    </row>
    <row r="58" spans="1:18" ht="39.75" x14ac:dyDescent="0.9">
      <c r="A58" s="52">
        <v>1</v>
      </c>
      <c r="B58" s="520"/>
      <c r="C58" s="521"/>
      <c r="D58" s="510"/>
      <c r="E58" s="522" t="s">
        <v>698</v>
      </c>
      <c r="F58" s="523"/>
      <c r="G58" s="523"/>
      <c r="I58" s="15"/>
      <c r="J58" s="62"/>
      <c r="P58" s="264" t="s">
        <v>330</v>
      </c>
      <c r="Q58" s="253">
        <v>7948858.8499999996</v>
      </c>
      <c r="R58" s="258"/>
    </row>
    <row r="59" spans="1:18" ht="39.75" x14ac:dyDescent="0.9">
      <c r="A59" s="52">
        <v>2</v>
      </c>
      <c r="B59" s="388" t="s">
        <v>8</v>
      </c>
      <c r="C59" s="402">
        <v>21558491.59</v>
      </c>
      <c r="D59" s="373"/>
      <c r="E59" s="402">
        <v>3148534.08</v>
      </c>
      <c r="I59" s="15"/>
      <c r="J59" s="62"/>
      <c r="O59" s="18"/>
      <c r="P59" s="264" t="s">
        <v>2</v>
      </c>
      <c r="Q59" s="253">
        <v>14204816.880000001</v>
      </c>
      <c r="R59" s="258"/>
    </row>
    <row r="60" spans="1:18" ht="39.75" x14ac:dyDescent="0.9">
      <c r="A60" s="52">
        <v>3</v>
      </c>
      <c r="B60" s="388" t="s">
        <v>9</v>
      </c>
      <c r="C60" s="402">
        <v>7686800.3499999996</v>
      </c>
      <c r="D60" s="373"/>
      <c r="E60" s="402">
        <v>1259802.78</v>
      </c>
      <c r="I60" s="15"/>
      <c r="J60" s="62"/>
      <c r="O60" s="18"/>
      <c r="P60" s="267" t="s">
        <v>690</v>
      </c>
      <c r="Q60" s="359">
        <v>106150</v>
      </c>
      <c r="R60" s="273"/>
    </row>
    <row r="61" spans="1:18" ht="39.75" x14ac:dyDescent="0.9">
      <c r="A61" s="52">
        <v>4</v>
      </c>
      <c r="B61" s="388" t="s">
        <v>10</v>
      </c>
      <c r="C61" s="402">
        <v>6878489.9800000004</v>
      </c>
      <c r="D61" s="373"/>
      <c r="E61" s="402">
        <v>164480.85</v>
      </c>
      <c r="I61" s="15"/>
      <c r="J61" s="62"/>
      <c r="P61" s="261" t="s">
        <v>691</v>
      </c>
      <c r="Q61" s="410">
        <f>410675+50000</f>
        <v>460675</v>
      </c>
    </row>
    <row r="62" spans="1:18" ht="39.75" x14ac:dyDescent="0.9">
      <c r="A62" s="52">
        <v>5</v>
      </c>
      <c r="B62" s="388" t="s">
        <v>525</v>
      </c>
      <c r="C62" s="402">
        <v>1146237.96</v>
      </c>
      <c r="D62" s="373"/>
      <c r="E62" s="402">
        <v>291868.55</v>
      </c>
      <c r="I62" s="15"/>
      <c r="J62" s="62"/>
      <c r="P62" s="270" t="s">
        <v>158</v>
      </c>
      <c r="Q62" s="259"/>
      <c r="R62" s="276">
        <f>SUM(Q63:Q76)</f>
        <v>61330262.280000001</v>
      </c>
    </row>
    <row r="63" spans="1:18" ht="39.75" x14ac:dyDescent="0.9">
      <c r="B63" s="388" t="s">
        <v>622</v>
      </c>
      <c r="C63" s="402">
        <f>609948.07+1933386.8</f>
        <v>2543334.87</v>
      </c>
      <c r="D63" s="373"/>
      <c r="E63" s="402">
        <f>29787.38+3448+36413.67</f>
        <v>69649.05</v>
      </c>
      <c r="I63" s="15"/>
      <c r="J63" s="62"/>
      <c r="P63" s="266" t="s">
        <v>350</v>
      </c>
      <c r="Q63" s="737">
        <f>247282.6+832383+20404</f>
        <v>1100069.6000000001</v>
      </c>
      <c r="R63" s="254"/>
    </row>
    <row r="64" spans="1:18" ht="36" x14ac:dyDescent="0.8">
      <c r="B64" s="387" t="s">
        <v>526</v>
      </c>
      <c r="C64" s="403">
        <f>SUM(C59:C63)</f>
        <v>39813354.75</v>
      </c>
      <c r="D64" s="373"/>
      <c r="E64" s="403">
        <f>SUM(E59:E63)</f>
        <v>4934335.3099999996</v>
      </c>
      <c r="I64" s="15"/>
      <c r="J64" s="62"/>
      <c r="P64" s="266" t="s">
        <v>342</v>
      </c>
      <c r="Q64" s="274">
        <v>760000</v>
      </c>
      <c r="R64" s="256"/>
    </row>
    <row r="65" spans="1:24" s="68" customFormat="1" ht="36" x14ac:dyDescent="0.8">
      <c r="A65" s="130"/>
      <c r="B65" s="387"/>
      <c r="C65" s="403"/>
      <c r="D65" s="373"/>
      <c r="E65" s="403"/>
      <c r="F65" s="180"/>
      <c r="G65" s="180"/>
      <c r="H65" s="135"/>
      <c r="I65" s="75"/>
      <c r="J65" s="75"/>
      <c r="K65" s="76"/>
      <c r="L65" s="75"/>
      <c r="M65" s="75"/>
      <c r="N65" s="75"/>
      <c r="O65" s="70"/>
      <c r="P65" s="266" t="s">
        <v>343</v>
      </c>
      <c r="Q65" s="274">
        <v>897266</v>
      </c>
      <c r="R65" s="255"/>
      <c r="S65" s="70"/>
      <c r="T65" s="70"/>
      <c r="V65" s="69"/>
    </row>
    <row r="66" spans="1:24" s="68" customFormat="1" ht="36" x14ac:dyDescent="0.8">
      <c r="A66" s="130"/>
      <c r="B66" s="387"/>
      <c r="C66" s="403"/>
      <c r="D66" s="373"/>
      <c r="E66" s="403"/>
      <c r="F66" s="180"/>
      <c r="G66" s="180"/>
      <c r="H66" s="135"/>
      <c r="I66" s="75"/>
      <c r="J66" s="75"/>
      <c r="K66" s="76"/>
      <c r="L66" s="75"/>
      <c r="M66" s="75"/>
      <c r="N66" s="75"/>
      <c r="O66" s="70"/>
      <c r="P66" s="267" t="s">
        <v>626</v>
      </c>
      <c r="Q66" s="695">
        <f>10153332+3384444</f>
        <v>13537776</v>
      </c>
      <c r="R66" s="260"/>
      <c r="S66" s="70"/>
      <c r="T66" s="70"/>
      <c r="V66" s="69"/>
    </row>
    <row r="67" spans="1:24" s="68" customFormat="1" ht="36" x14ac:dyDescent="0.8">
      <c r="A67" s="130"/>
      <c r="B67" s="387"/>
      <c r="C67" s="403"/>
      <c r="D67" s="373"/>
      <c r="E67" s="403"/>
      <c r="F67" s="180"/>
      <c r="G67" s="180"/>
      <c r="H67" s="135"/>
      <c r="I67" s="75"/>
      <c r="J67" s="75"/>
      <c r="K67" s="76"/>
      <c r="L67" s="75"/>
      <c r="M67" s="75"/>
      <c r="N67" s="75"/>
      <c r="O67" s="70"/>
      <c r="P67" s="267" t="s">
        <v>553</v>
      </c>
      <c r="Q67" s="695">
        <f>2454200+874000</f>
        <v>3328200</v>
      </c>
      <c r="R67" s="260"/>
      <c r="S67" s="70"/>
      <c r="T67" s="70"/>
      <c r="V67" s="69"/>
    </row>
    <row r="68" spans="1:24" s="68" customFormat="1" ht="36" x14ac:dyDescent="0.8">
      <c r="A68" s="130"/>
      <c r="B68" s="387"/>
      <c r="C68" s="403"/>
      <c r="D68" s="373"/>
      <c r="E68" s="403"/>
      <c r="F68" s="180"/>
      <c r="G68" s="180"/>
      <c r="H68" s="135"/>
      <c r="I68" s="75"/>
      <c r="J68" s="75"/>
      <c r="K68" s="76"/>
      <c r="L68" s="75"/>
      <c r="M68" s="75"/>
      <c r="N68" s="75"/>
      <c r="O68" s="70"/>
      <c r="P68" s="267" t="s">
        <v>627</v>
      </c>
      <c r="Q68" s="695">
        <v>1671256</v>
      </c>
      <c r="R68" s="260"/>
      <c r="S68" s="70"/>
      <c r="T68" s="70"/>
      <c r="V68" s="69"/>
    </row>
    <row r="69" spans="1:24" s="68" customFormat="1" ht="36" x14ac:dyDescent="0.8">
      <c r="A69" s="130"/>
      <c r="B69" s="387"/>
      <c r="C69" s="403"/>
      <c r="D69" s="373"/>
      <c r="E69" s="403"/>
      <c r="F69" s="180"/>
      <c r="G69" s="180"/>
      <c r="H69" s="135"/>
      <c r="I69" s="75"/>
      <c r="J69" s="75"/>
      <c r="K69" s="76"/>
      <c r="L69" s="75"/>
      <c r="M69" s="75"/>
      <c r="N69" s="75"/>
      <c r="O69" s="70"/>
      <c r="P69" s="267" t="s">
        <v>624</v>
      </c>
      <c r="Q69" s="695">
        <v>799095</v>
      </c>
      <c r="R69" s="260"/>
      <c r="S69" s="70"/>
      <c r="T69" s="70"/>
      <c r="V69" s="69"/>
      <c r="X69" s="68" t="s">
        <v>536</v>
      </c>
    </row>
    <row r="70" spans="1:24" s="68" customFormat="1" ht="36" x14ac:dyDescent="0.8">
      <c r="A70" s="130"/>
      <c r="B70" s="387"/>
      <c r="C70" s="403"/>
      <c r="D70" s="373"/>
      <c r="E70" s="403"/>
      <c r="F70" s="180"/>
      <c r="G70" s="180"/>
      <c r="H70" s="137"/>
      <c r="I70" s="75"/>
      <c r="J70" s="75"/>
      <c r="K70" s="76"/>
      <c r="L70" s="75"/>
      <c r="M70" s="75"/>
      <c r="N70" s="75"/>
      <c r="O70" s="70"/>
      <c r="P70" s="267" t="s">
        <v>625</v>
      </c>
      <c r="Q70" s="695">
        <v>567820</v>
      </c>
      <c r="R70" s="260"/>
      <c r="S70" s="70"/>
      <c r="T70" s="70"/>
      <c r="V70" s="69"/>
    </row>
    <row r="71" spans="1:24" s="68" customFormat="1" ht="36" x14ac:dyDescent="0.8">
      <c r="A71" s="130"/>
      <c r="B71" s="387"/>
      <c r="C71" s="403"/>
      <c r="D71" s="373"/>
      <c r="E71" s="403"/>
      <c r="F71" s="180"/>
      <c r="G71" s="180"/>
      <c r="H71" s="137"/>
      <c r="I71" s="75"/>
      <c r="J71" s="75"/>
      <c r="K71" s="76"/>
      <c r="L71" s="75"/>
      <c r="M71" s="75"/>
      <c r="N71" s="75"/>
      <c r="O71" s="70"/>
      <c r="P71" s="267" t="s">
        <v>628</v>
      </c>
      <c r="Q71" s="695">
        <f>150000+50680+21250+55155</f>
        <v>277085</v>
      </c>
      <c r="R71" s="408"/>
      <c r="S71" s="70"/>
      <c r="T71" s="70"/>
      <c r="V71" s="69"/>
    </row>
    <row r="72" spans="1:24" s="68" customFormat="1" ht="33" x14ac:dyDescent="0.75">
      <c r="A72" s="130"/>
      <c r="B72" s="376"/>
      <c r="C72" s="374"/>
      <c r="D72" s="373"/>
      <c r="E72" s="180"/>
      <c r="F72" s="180"/>
      <c r="G72" s="180"/>
      <c r="H72" s="135"/>
      <c r="I72" s="75"/>
      <c r="J72" s="75"/>
      <c r="K72" s="76"/>
      <c r="L72" s="75"/>
      <c r="M72" s="75"/>
      <c r="N72" s="75"/>
      <c r="O72" s="70"/>
      <c r="P72" s="267" t="s">
        <v>629</v>
      </c>
      <c r="Q72" s="695">
        <f>7425+50400+86900</f>
        <v>144725</v>
      </c>
      <c r="R72" s="260"/>
      <c r="S72" s="70"/>
      <c r="T72" s="70"/>
      <c r="V72" s="69"/>
    </row>
    <row r="73" spans="1:24" ht="39.75" x14ac:dyDescent="0.9">
      <c r="B73" s="377"/>
      <c r="C73" s="375"/>
      <c r="D73" s="373"/>
      <c r="H73" s="138"/>
      <c r="P73" s="267" t="s">
        <v>693</v>
      </c>
      <c r="Q73" s="274">
        <v>25000000</v>
      </c>
      <c r="R73" s="512"/>
    </row>
    <row r="74" spans="1:24" ht="33" x14ac:dyDescent="0.75">
      <c r="B74" s="367"/>
      <c r="C74" s="197"/>
      <c r="D74" s="373"/>
      <c r="P74" s="267" t="s">
        <v>630</v>
      </c>
      <c r="Q74" s="274">
        <f>60000+153780</f>
        <v>213780</v>
      </c>
      <c r="R74" s="513"/>
    </row>
    <row r="75" spans="1:24" ht="33" x14ac:dyDescent="0.75">
      <c r="B75" s="200"/>
      <c r="C75" s="374"/>
      <c r="D75" s="373"/>
      <c r="P75" s="267" t="s">
        <v>549</v>
      </c>
      <c r="Q75" s="274">
        <f>549632+2001594.25</f>
        <v>2551226.25</v>
      </c>
      <c r="R75" s="514"/>
    </row>
    <row r="76" spans="1:24" ht="33.75" thickBot="1" x14ac:dyDescent="0.8">
      <c r="B76" s="376"/>
      <c r="C76" s="374"/>
      <c r="D76" s="373"/>
      <c r="E76" s="198"/>
      <c r="F76" s="198"/>
      <c r="P76" s="268" t="s">
        <v>344</v>
      </c>
      <c r="Q76" s="275">
        <f>312608.84+5206454+9610595.44-4647694.85</f>
        <v>10481963.43</v>
      </c>
      <c r="R76" s="515"/>
    </row>
    <row r="77" spans="1:24" ht="33.75" thickTop="1" x14ac:dyDescent="0.75">
      <c r="B77" s="376"/>
      <c r="C77" s="374"/>
      <c r="D77" s="373"/>
      <c r="E77" s="198"/>
      <c r="F77" s="198"/>
    </row>
    <row r="78" spans="1:24" x14ac:dyDescent="0.25">
      <c r="R78" s="18"/>
    </row>
    <row r="79" spans="1:24" x14ac:dyDescent="0.25">
      <c r="B79" s="361" t="s">
        <v>518</v>
      </c>
    </row>
    <row r="80" spans="1:24" ht="27.75" x14ac:dyDescent="0.55000000000000004">
      <c r="B80" s="348" t="s">
        <v>527</v>
      </c>
      <c r="C80" s="344"/>
      <c r="D80" s="191"/>
      <c r="E80" s="389">
        <v>1287000</v>
      </c>
      <c r="F80" s="187" t="s">
        <v>519</v>
      </c>
    </row>
    <row r="81" spans="1:6" ht="27.75" x14ac:dyDescent="0.55000000000000004">
      <c r="B81" s="348" t="s">
        <v>528</v>
      </c>
      <c r="C81" s="344"/>
      <c r="D81" s="191"/>
      <c r="E81" s="389">
        <v>820000</v>
      </c>
    </row>
    <row r="82" spans="1:6" ht="27.75" x14ac:dyDescent="0.55000000000000004">
      <c r="B82" s="348" t="s">
        <v>529</v>
      </c>
      <c r="C82" s="344"/>
      <c r="D82" s="191"/>
      <c r="E82" s="389">
        <v>460000</v>
      </c>
    </row>
    <row r="83" spans="1:6" ht="27.75" x14ac:dyDescent="0.55000000000000004">
      <c r="B83" s="349" t="s">
        <v>530</v>
      </c>
      <c r="C83" s="345"/>
      <c r="D83" s="191"/>
      <c r="E83" s="390">
        <v>600000</v>
      </c>
    </row>
    <row r="84" spans="1:6" ht="27.75" x14ac:dyDescent="0.55000000000000004">
      <c r="B84" s="348" t="s">
        <v>531</v>
      </c>
      <c r="C84" s="347"/>
      <c r="D84" s="191"/>
      <c r="E84" s="391">
        <v>5000000</v>
      </c>
    </row>
    <row r="85" spans="1:6" ht="27.75" x14ac:dyDescent="0.65">
      <c r="B85" s="348" t="s">
        <v>522</v>
      </c>
      <c r="E85" s="392">
        <v>498000</v>
      </c>
      <c r="F85" s="187" t="s">
        <v>532</v>
      </c>
    </row>
    <row r="86" spans="1:6" ht="27.75" x14ac:dyDescent="0.55000000000000004">
      <c r="B86" s="348" t="s">
        <v>521</v>
      </c>
      <c r="C86" s="347"/>
      <c r="D86" s="191"/>
      <c r="E86" s="352">
        <v>165000</v>
      </c>
      <c r="F86" s="187" t="s">
        <v>532</v>
      </c>
    </row>
    <row r="87" spans="1:6" ht="27.75" x14ac:dyDescent="0.55000000000000004">
      <c r="A87" s="365">
        <v>9</v>
      </c>
      <c r="B87" s="348" t="s">
        <v>520</v>
      </c>
      <c r="C87" s="344"/>
      <c r="D87" s="191"/>
      <c r="E87" s="350">
        <v>280000</v>
      </c>
      <c r="F87" s="187" t="s">
        <v>532</v>
      </c>
    </row>
    <row r="88" spans="1:6" ht="27.75" x14ac:dyDescent="0.35">
      <c r="B88" s="348" t="s">
        <v>523</v>
      </c>
      <c r="C88" s="346"/>
      <c r="D88" s="191"/>
      <c r="E88" s="351">
        <v>395000</v>
      </c>
    </row>
    <row r="89" spans="1:6" ht="27.75" x14ac:dyDescent="0.55000000000000004">
      <c r="B89" s="349" t="s">
        <v>381</v>
      </c>
      <c r="C89" s="345"/>
      <c r="D89" s="191"/>
      <c r="E89" s="351">
        <v>198000</v>
      </c>
    </row>
    <row r="90" spans="1:6" ht="27.75" x14ac:dyDescent="0.55000000000000004">
      <c r="B90" s="348" t="s">
        <v>521</v>
      </c>
      <c r="C90" s="347" t="s">
        <v>533</v>
      </c>
      <c r="D90" s="191"/>
      <c r="E90" s="352">
        <v>210000</v>
      </c>
    </row>
    <row r="91" spans="1:6" ht="27.75" x14ac:dyDescent="0.65">
      <c r="B91" s="363" t="s">
        <v>430</v>
      </c>
      <c r="D91" s="362"/>
      <c r="E91" s="364">
        <v>395000</v>
      </c>
    </row>
    <row r="92" spans="1:6" ht="27.75" x14ac:dyDescent="0.55000000000000004">
      <c r="B92" s="348" t="s">
        <v>520</v>
      </c>
      <c r="C92" s="344" t="s">
        <v>555</v>
      </c>
      <c r="D92" s="191"/>
      <c r="E92" s="350">
        <v>250000</v>
      </c>
    </row>
    <row r="93" spans="1:6" x14ac:dyDescent="0.25">
      <c r="A93" s="501">
        <v>2</v>
      </c>
    </row>
    <row r="94" spans="1:6" ht="27.75" x14ac:dyDescent="0.55000000000000004">
      <c r="B94" s="506" t="s">
        <v>378</v>
      </c>
      <c r="C94" s="503"/>
      <c r="D94" s="504"/>
      <c r="E94" s="505">
        <v>1000000</v>
      </c>
      <c r="F94" s="504"/>
    </row>
    <row r="95" spans="1:6" x14ac:dyDescent="0.25">
      <c r="A95" s="526" t="s">
        <v>631</v>
      </c>
    </row>
    <row r="96" spans="1:6" x14ac:dyDescent="0.25">
      <c r="A96" s="501">
        <v>1</v>
      </c>
      <c r="B96" s="523"/>
    </row>
    <row r="97" spans="1:7" ht="27.75" x14ac:dyDescent="0.55000000000000004">
      <c r="A97" s="501">
        <v>4</v>
      </c>
      <c r="B97" s="502" t="s">
        <v>374</v>
      </c>
      <c r="C97" s="503"/>
      <c r="D97" s="504"/>
      <c r="E97" s="505">
        <v>500000</v>
      </c>
      <c r="F97" s="504" t="s">
        <v>107</v>
      </c>
    </row>
    <row r="98" spans="1:7" ht="27.75" x14ac:dyDescent="0.55000000000000004">
      <c r="A98" s="501">
        <v>6</v>
      </c>
      <c r="B98" s="502" t="s">
        <v>520</v>
      </c>
      <c r="C98" s="503"/>
      <c r="D98" s="504"/>
      <c r="E98" s="505"/>
    </row>
    <row r="99" spans="1:7" ht="27.75" x14ac:dyDescent="0.25">
      <c r="B99" s="502" t="s">
        <v>522</v>
      </c>
    </row>
    <row r="109" spans="1:7" x14ac:dyDescent="0.25">
      <c r="A109"/>
      <c r="B109"/>
      <c r="C109"/>
      <c r="D109"/>
      <c r="E109"/>
      <c r="F109"/>
      <c r="G109"/>
    </row>
  </sheetData>
  <mergeCells count="13">
    <mergeCell ref="I40:I41"/>
    <mergeCell ref="K40:M41"/>
    <mergeCell ref="I42:I43"/>
    <mergeCell ref="K42:M43"/>
    <mergeCell ref="K36:M37"/>
    <mergeCell ref="K38:M38"/>
    <mergeCell ref="K39:M39"/>
    <mergeCell ref="P33:R33"/>
    <mergeCell ref="I34:I35"/>
    <mergeCell ref="I36:I37"/>
    <mergeCell ref="B1:D1"/>
    <mergeCell ref="I5:K5"/>
    <mergeCell ref="K34:M35"/>
  </mergeCells>
  <pageMargins left="0.41" right="0.16" top="0.61" bottom="0.42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G33" sqref="G33"/>
    </sheetView>
  </sheetViews>
  <sheetFormatPr defaultRowHeight="12.75" x14ac:dyDescent="0.2"/>
  <cols>
    <col min="2" max="2" width="29" customWidth="1"/>
    <col min="4" max="4" width="27.7109375" customWidth="1"/>
  </cols>
  <sheetData>
    <row r="1" spans="1:19" ht="15" x14ac:dyDescent="0.35">
      <c r="A1" s="15" t="s">
        <v>141</v>
      </c>
      <c r="B1" s="4"/>
      <c r="C1" s="10"/>
      <c r="S1" s="8"/>
    </row>
    <row r="2" spans="1:19" ht="15" x14ac:dyDescent="0.35">
      <c r="A2" s="15"/>
      <c r="B2" s="4"/>
      <c r="C2" s="10"/>
      <c r="S2" s="8"/>
    </row>
    <row r="3" spans="1:19" ht="15" x14ac:dyDescent="0.35">
      <c r="A3" s="15"/>
      <c r="B3" s="4"/>
      <c r="C3" s="10"/>
      <c r="G3" s="44"/>
      <c r="H3" s="45"/>
      <c r="L3" s="45"/>
      <c r="S3" s="8"/>
    </row>
    <row r="4" spans="1:19" ht="15.75" x14ac:dyDescent="0.25">
      <c r="A4" s="39" t="s">
        <v>84</v>
      </c>
      <c r="B4" s="38"/>
      <c r="C4" s="40"/>
      <c r="D4" s="40"/>
      <c r="E4" s="40"/>
      <c r="G4" s="44"/>
      <c r="H4" s="45"/>
      <c r="L4" s="45"/>
      <c r="S4" s="8"/>
    </row>
    <row r="5" spans="1:19" ht="15" x14ac:dyDescent="0.35">
      <c r="A5" s="49" t="s">
        <v>46</v>
      </c>
      <c r="B5" s="57"/>
      <c r="C5" s="55"/>
      <c r="D5" s="57">
        <v>350000</v>
      </c>
      <c r="E5" s="55" t="s">
        <v>82</v>
      </c>
      <c r="S5" s="8"/>
    </row>
    <row r="6" spans="1:19" ht="15" x14ac:dyDescent="0.35">
      <c r="A6" s="49" t="s">
        <v>87</v>
      </c>
      <c r="B6" s="57"/>
      <c r="C6" s="55"/>
      <c r="D6" s="57">
        <v>200000</v>
      </c>
      <c r="E6" s="55" t="s">
        <v>82</v>
      </c>
      <c r="S6" s="8"/>
    </row>
    <row r="7" spans="1:19" ht="15" x14ac:dyDescent="0.35">
      <c r="A7" s="49" t="s">
        <v>123</v>
      </c>
      <c r="B7" s="50" t="s">
        <v>90</v>
      </c>
      <c r="C7" s="49"/>
      <c r="D7" s="57">
        <v>100000</v>
      </c>
      <c r="E7" s="55" t="s">
        <v>82</v>
      </c>
      <c r="S7" s="8"/>
    </row>
    <row r="8" spans="1:19" ht="15" x14ac:dyDescent="0.35">
      <c r="A8" s="49" t="s">
        <v>124</v>
      </c>
      <c r="B8" s="58"/>
      <c r="C8" s="59"/>
      <c r="D8" s="60">
        <v>150000</v>
      </c>
      <c r="E8" s="55" t="s">
        <v>82</v>
      </c>
      <c r="S8" s="8"/>
    </row>
    <row r="9" spans="1:19" ht="15" x14ac:dyDescent="0.35">
      <c r="A9" s="49" t="s">
        <v>125</v>
      </c>
      <c r="B9" s="54"/>
      <c r="C9" s="55"/>
      <c r="D9" s="57">
        <v>330000</v>
      </c>
      <c r="E9" s="55" t="s">
        <v>82</v>
      </c>
      <c r="S9" s="8"/>
    </row>
    <row r="10" spans="1:19" ht="15" x14ac:dyDescent="0.35">
      <c r="A10" s="49" t="s">
        <v>126</v>
      </c>
      <c r="B10" s="54"/>
      <c r="C10" s="55"/>
      <c r="D10" s="57">
        <v>350000</v>
      </c>
      <c r="E10" s="55" t="s">
        <v>82</v>
      </c>
      <c r="G10" s="44"/>
      <c r="H10" s="45"/>
      <c r="L10" s="45"/>
      <c r="S10" s="8"/>
    </row>
    <row r="11" spans="1:19" ht="15" x14ac:dyDescent="0.35">
      <c r="A11" s="49" t="s">
        <v>127</v>
      </c>
      <c r="B11" s="54"/>
      <c r="C11" s="55"/>
      <c r="D11" s="57">
        <v>30000</v>
      </c>
      <c r="E11" s="55" t="s">
        <v>82</v>
      </c>
      <c r="S11" s="8"/>
    </row>
    <row r="12" spans="1:19" ht="15" x14ac:dyDescent="0.35">
      <c r="A12" s="49" t="s">
        <v>128</v>
      </c>
      <c r="B12" s="54"/>
      <c r="C12" s="55"/>
      <c r="D12" s="57">
        <v>20000</v>
      </c>
      <c r="E12" s="55" t="s">
        <v>82</v>
      </c>
      <c r="G12" s="44"/>
      <c r="H12" s="45"/>
      <c r="L12" s="45"/>
      <c r="S12" s="8"/>
    </row>
    <row r="13" spans="1:19" ht="15" x14ac:dyDescent="0.35">
      <c r="A13" s="49" t="s">
        <v>129</v>
      </c>
      <c r="B13" s="54"/>
      <c r="C13" s="55"/>
      <c r="D13" s="57">
        <v>300000</v>
      </c>
      <c r="E13" s="55" t="s">
        <v>82</v>
      </c>
      <c r="G13" s="44"/>
      <c r="H13" s="45"/>
      <c r="L13" s="45"/>
      <c r="S13" s="8"/>
    </row>
    <row r="14" spans="1:19" ht="15" x14ac:dyDescent="0.35">
      <c r="A14" s="49" t="s">
        <v>130</v>
      </c>
      <c r="B14" s="54"/>
      <c r="C14" s="55"/>
      <c r="D14" s="57">
        <v>200000</v>
      </c>
      <c r="E14" s="55" t="s">
        <v>82</v>
      </c>
      <c r="G14" s="44"/>
      <c r="H14" s="45"/>
      <c r="L14" s="45"/>
      <c r="S14" s="8"/>
    </row>
    <row r="15" spans="1:19" ht="15" x14ac:dyDescent="0.35">
      <c r="A15" s="49" t="s">
        <v>131</v>
      </c>
      <c r="B15" s="54"/>
      <c r="C15" s="55"/>
      <c r="D15" s="57">
        <v>150000</v>
      </c>
      <c r="E15" s="55" t="s">
        <v>82</v>
      </c>
      <c r="G15" s="44"/>
      <c r="H15" s="45"/>
      <c r="L15" s="45"/>
      <c r="S15" s="8"/>
    </row>
    <row r="16" spans="1:19" ht="15" x14ac:dyDescent="0.35">
      <c r="A16" s="49" t="s">
        <v>132</v>
      </c>
      <c r="B16" s="54"/>
      <c r="C16" s="55"/>
      <c r="D16" s="57">
        <v>200000</v>
      </c>
      <c r="E16" s="55" t="s">
        <v>82</v>
      </c>
      <c r="G16" s="44"/>
      <c r="H16" s="45"/>
      <c r="L16" s="45"/>
      <c r="S16" s="8"/>
    </row>
    <row r="17" spans="1:19" ht="15" x14ac:dyDescent="0.35">
      <c r="A17" s="49" t="s">
        <v>133</v>
      </c>
      <c r="B17" s="54"/>
      <c r="C17" s="55"/>
      <c r="D17" s="57">
        <v>22000</v>
      </c>
      <c r="E17" s="55" t="s">
        <v>82</v>
      </c>
      <c r="G17" s="44"/>
      <c r="H17" s="45"/>
      <c r="L17" s="45"/>
      <c r="S17" s="8"/>
    </row>
    <row r="18" spans="1:19" ht="15" x14ac:dyDescent="0.35">
      <c r="A18" s="49" t="s">
        <v>134</v>
      </c>
      <c r="B18" s="54"/>
      <c r="C18" s="55"/>
      <c r="D18" s="57">
        <v>150000</v>
      </c>
      <c r="E18" s="55" t="s">
        <v>82</v>
      </c>
      <c r="G18" s="44"/>
      <c r="H18" s="45"/>
      <c r="L18" s="45"/>
      <c r="S18" s="8"/>
    </row>
    <row r="19" spans="1:19" ht="15" x14ac:dyDescent="0.35">
      <c r="A19" s="49" t="s">
        <v>135</v>
      </c>
      <c r="B19" s="57"/>
      <c r="C19" s="55"/>
      <c r="D19" s="57">
        <v>200000</v>
      </c>
      <c r="E19" s="55" t="s">
        <v>82</v>
      </c>
      <c r="G19" s="44"/>
      <c r="H19" s="45"/>
      <c r="L19" s="45"/>
      <c r="S19" s="8"/>
    </row>
    <row r="20" spans="1:19" ht="15" x14ac:dyDescent="0.35">
      <c r="A20" s="49" t="s">
        <v>136</v>
      </c>
      <c r="B20" s="57"/>
      <c r="C20" s="55"/>
      <c r="D20" s="57">
        <v>150000</v>
      </c>
      <c r="E20" s="55" t="s">
        <v>82</v>
      </c>
      <c r="S20" s="8"/>
    </row>
    <row r="21" spans="1:19" ht="15" x14ac:dyDescent="0.35">
      <c r="A21" s="67" t="s">
        <v>137</v>
      </c>
      <c r="B21" s="54"/>
      <c r="C21" s="55"/>
      <c r="D21" s="57">
        <v>80000</v>
      </c>
      <c r="E21" s="55" t="s">
        <v>82</v>
      </c>
      <c r="S21" s="8"/>
    </row>
    <row r="22" spans="1:19" ht="15" x14ac:dyDescent="0.35">
      <c r="A22" s="49" t="s">
        <v>138</v>
      </c>
      <c r="B22" s="14"/>
      <c r="C22" s="55"/>
      <c r="D22" s="57">
        <v>135000</v>
      </c>
      <c r="E22" s="55" t="s">
        <v>82</v>
      </c>
      <c r="S22" s="8"/>
    </row>
    <row r="23" spans="1:19" ht="15" x14ac:dyDescent="0.35">
      <c r="A23" s="49" t="s">
        <v>139</v>
      </c>
      <c r="B23" s="54"/>
      <c r="C23" s="55"/>
      <c r="D23" s="57">
        <v>170000</v>
      </c>
      <c r="E23" s="55" t="s">
        <v>82</v>
      </c>
      <c r="S23" s="8"/>
    </row>
    <row r="24" spans="1:19" ht="15" x14ac:dyDescent="0.35">
      <c r="A24" s="49" t="s">
        <v>140</v>
      </c>
      <c r="B24" s="14"/>
      <c r="C24" s="55"/>
      <c r="D24" s="57">
        <v>80000</v>
      </c>
      <c r="E24" s="55" t="s">
        <v>82</v>
      </c>
      <c r="S24" s="8"/>
    </row>
    <row r="25" spans="1:19" ht="15" x14ac:dyDescent="0.35">
      <c r="A25" s="113" t="s">
        <v>118</v>
      </c>
      <c r="B25" s="114"/>
      <c r="C25" s="115"/>
      <c r="D25" s="60">
        <v>28000</v>
      </c>
      <c r="E25" s="55" t="s">
        <v>82</v>
      </c>
      <c r="S25" s="8"/>
    </row>
    <row r="26" spans="1:19" ht="15" x14ac:dyDescent="0.35">
      <c r="A26" s="116" t="s">
        <v>113</v>
      </c>
      <c r="B26" s="114"/>
      <c r="C26" s="115"/>
      <c r="D26" s="60">
        <v>164000</v>
      </c>
      <c r="E26" s="55" t="s">
        <v>82</v>
      </c>
      <c r="G26" s="44"/>
      <c r="H26" s="45"/>
      <c r="L26" s="45"/>
      <c r="S26" s="8"/>
    </row>
    <row r="27" spans="1:19" ht="15" x14ac:dyDescent="0.35">
      <c r="A27" s="113" t="s">
        <v>114</v>
      </c>
      <c r="B27" s="114"/>
      <c r="C27" s="115"/>
      <c r="D27" s="60">
        <v>368000</v>
      </c>
      <c r="E27" s="55" t="s">
        <v>82</v>
      </c>
      <c r="G27" s="44"/>
      <c r="H27" s="45"/>
      <c r="L27" s="45"/>
      <c r="S27" s="8"/>
    </row>
    <row r="28" spans="1:19" ht="15" x14ac:dyDescent="0.35">
      <c r="A28" s="49"/>
      <c r="B28" s="57"/>
      <c r="C28" s="55"/>
      <c r="D28" s="121">
        <f>SUM(D5:D27)</f>
        <v>3927000</v>
      </c>
      <c r="E28" s="55"/>
      <c r="S28" s="8"/>
    </row>
    <row r="29" spans="1:19" ht="15" x14ac:dyDescent="0.35">
      <c r="A29" s="49"/>
      <c r="B29" s="57"/>
      <c r="C29" s="55"/>
      <c r="D29" s="57"/>
      <c r="E29" s="55"/>
      <c r="S29" s="8"/>
    </row>
    <row r="30" spans="1:19" ht="15" x14ac:dyDescent="0.35">
      <c r="A30" s="49"/>
      <c r="B30" s="61"/>
      <c r="C30" s="55"/>
      <c r="D30" s="57"/>
      <c r="E30" s="55"/>
      <c r="S30" s="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workbookViewId="0">
      <selection activeCell="C35" sqref="C35"/>
    </sheetView>
  </sheetViews>
  <sheetFormatPr defaultColWidth="10.28515625" defaultRowHeight="24" x14ac:dyDescent="0.2"/>
  <cols>
    <col min="1" max="1" width="44.140625" style="53" customWidth="1"/>
    <col min="2" max="2" width="24.5703125" style="53" customWidth="1"/>
    <col min="3" max="3" width="10.28515625" style="53"/>
    <col min="4" max="4" width="18.140625" style="53" customWidth="1"/>
    <col min="5" max="16384" width="10.28515625" style="53"/>
  </cols>
  <sheetData>
    <row r="1" spans="1:19" customFormat="1" ht="15.75" x14ac:dyDescent="0.25">
      <c r="A1" s="39" t="s">
        <v>41</v>
      </c>
      <c r="B1" s="38"/>
      <c r="C1" s="40"/>
      <c r="D1" s="40"/>
      <c r="E1" s="40"/>
      <c r="S1" s="8"/>
    </row>
    <row r="2" spans="1:19" customFormat="1" ht="15" x14ac:dyDescent="0.35">
      <c r="A2" s="15" t="s">
        <v>24</v>
      </c>
      <c r="B2" s="23">
        <v>480000</v>
      </c>
      <c r="C2" s="10"/>
      <c r="D2" s="15"/>
      <c r="S2" s="8"/>
    </row>
    <row r="3" spans="1:19" customFormat="1" ht="12.75" x14ac:dyDescent="0.2">
      <c r="A3" s="15" t="s">
        <v>37</v>
      </c>
      <c r="B3" s="8">
        <v>4990000</v>
      </c>
      <c r="C3" s="8"/>
      <c r="S3" s="8"/>
    </row>
    <row r="4" spans="1:19" customFormat="1" ht="12.75" x14ac:dyDescent="0.2">
      <c r="A4" s="15" t="s">
        <v>23</v>
      </c>
      <c r="B4" s="8">
        <v>445000</v>
      </c>
      <c r="S4" s="8"/>
    </row>
    <row r="5" spans="1:19" customFormat="1" ht="12.75" x14ac:dyDescent="0.2">
      <c r="A5" s="15" t="s">
        <v>22</v>
      </c>
      <c r="B5" s="8">
        <v>190000</v>
      </c>
      <c r="S5" s="8"/>
    </row>
    <row r="6" spans="1:19" customFormat="1" ht="15" x14ac:dyDescent="0.35">
      <c r="A6" s="15" t="s">
        <v>45</v>
      </c>
      <c r="B6" s="24">
        <v>90000</v>
      </c>
      <c r="C6" s="19"/>
      <c r="S6" s="8"/>
    </row>
    <row r="7" spans="1:19" customFormat="1" ht="12.75" x14ac:dyDescent="0.2">
      <c r="A7" s="15" t="s">
        <v>27</v>
      </c>
      <c r="B7" s="8">
        <v>499000</v>
      </c>
      <c r="S7" s="8"/>
    </row>
    <row r="8" spans="1:19" customFormat="1" ht="15" x14ac:dyDescent="0.35">
      <c r="A8" s="15" t="s">
        <v>28</v>
      </c>
      <c r="B8" s="23">
        <v>480000</v>
      </c>
      <c r="C8" s="10"/>
      <c r="S8" s="8"/>
    </row>
    <row r="9" spans="1:19" customFormat="1" ht="12.75" x14ac:dyDescent="0.2">
      <c r="A9" s="15" t="s">
        <v>29</v>
      </c>
      <c r="B9" s="8">
        <v>150000</v>
      </c>
      <c r="S9" s="8"/>
    </row>
    <row r="10" spans="1:19" customFormat="1" ht="12.75" x14ac:dyDescent="0.2">
      <c r="A10" s="15" t="s">
        <v>30</v>
      </c>
      <c r="B10" s="24">
        <v>60000</v>
      </c>
      <c r="S10" s="8"/>
    </row>
    <row r="11" spans="1:19" customFormat="1" ht="15" x14ac:dyDescent="0.35">
      <c r="A11" s="15" t="s">
        <v>52</v>
      </c>
      <c r="B11" s="32">
        <v>369480</v>
      </c>
      <c r="C11" s="10"/>
      <c r="S11" s="8"/>
    </row>
    <row r="12" spans="1:19" customFormat="1" ht="15" x14ac:dyDescent="0.35">
      <c r="A12" s="15" t="s">
        <v>53</v>
      </c>
      <c r="B12" s="32">
        <v>120000</v>
      </c>
      <c r="C12" s="10"/>
      <c r="S12" s="8"/>
    </row>
    <row r="13" spans="1:19" customFormat="1" ht="15" x14ac:dyDescent="0.35">
      <c r="A13" s="15" t="s">
        <v>54</v>
      </c>
      <c r="B13" s="33">
        <v>480000</v>
      </c>
      <c r="C13" s="10"/>
      <c r="S13" s="8"/>
    </row>
    <row r="14" spans="1:19" customFormat="1" ht="15" x14ac:dyDescent="0.35">
      <c r="A14" s="15" t="s">
        <v>55</v>
      </c>
      <c r="B14" s="33">
        <v>75000</v>
      </c>
      <c r="C14" s="10"/>
      <c r="S14" s="8"/>
    </row>
    <row r="15" spans="1:19" customFormat="1" ht="15" x14ac:dyDescent="0.35">
      <c r="A15" s="15" t="s">
        <v>56</v>
      </c>
      <c r="B15" s="33">
        <v>315000</v>
      </c>
      <c r="C15" s="10"/>
      <c r="S15" s="8"/>
    </row>
    <row r="16" spans="1:19" customFormat="1" ht="12.75" x14ac:dyDescent="0.2">
      <c r="A16" s="42" t="s">
        <v>57</v>
      </c>
      <c r="B16" s="7">
        <v>500000</v>
      </c>
      <c r="C16" s="5" t="s">
        <v>31</v>
      </c>
      <c r="D16" s="5"/>
      <c r="S16" s="8"/>
    </row>
    <row r="17" spans="1:19" customFormat="1" ht="12.75" x14ac:dyDescent="0.2">
      <c r="A17" s="15" t="s">
        <v>58</v>
      </c>
      <c r="B17" s="31">
        <v>500000</v>
      </c>
      <c r="C17" s="5" t="s">
        <v>31</v>
      </c>
      <c r="S17" s="8"/>
    </row>
    <row r="18" spans="1:19" customFormat="1" ht="12.75" x14ac:dyDescent="0.2">
      <c r="A18" s="43" t="s">
        <v>38</v>
      </c>
      <c r="B18" s="7">
        <v>380000</v>
      </c>
      <c r="C18" s="5" t="s">
        <v>31</v>
      </c>
      <c r="D18" s="5"/>
      <c r="S18" s="8"/>
    </row>
    <row r="19" spans="1:19" customFormat="1" ht="12.75" x14ac:dyDescent="0.2">
      <c r="A19" s="43" t="s">
        <v>47</v>
      </c>
      <c r="B19" s="7">
        <v>90000</v>
      </c>
      <c r="C19" s="5"/>
      <c r="D19" s="5"/>
      <c r="S19" s="8"/>
    </row>
    <row r="20" spans="1:19" customFormat="1" ht="12.75" x14ac:dyDescent="0.2">
      <c r="A20" s="42" t="s">
        <v>39</v>
      </c>
      <c r="B20" s="4">
        <v>50000</v>
      </c>
      <c r="C20" s="7"/>
      <c r="D20" s="20"/>
      <c r="S20" s="8"/>
    </row>
    <row r="21" spans="1:19" customFormat="1" ht="12.75" x14ac:dyDescent="0.2">
      <c r="A21" s="15" t="s">
        <v>42</v>
      </c>
      <c r="B21" s="4">
        <v>494700</v>
      </c>
      <c r="C21" s="7"/>
      <c r="D21" s="20"/>
      <c r="S21" s="8"/>
    </row>
    <row r="22" spans="1:19" customFormat="1" ht="15" x14ac:dyDescent="0.35">
      <c r="A22" s="15" t="s">
        <v>43</v>
      </c>
      <c r="B22" s="4">
        <v>260000</v>
      </c>
      <c r="C22" s="11"/>
      <c r="D22" s="4"/>
      <c r="E22" s="11"/>
      <c r="S22" s="8"/>
    </row>
    <row r="23" spans="1:19" customFormat="1" ht="12.75" x14ac:dyDescent="0.2">
      <c r="A23" s="15" t="s">
        <v>44</v>
      </c>
      <c r="B23" s="4">
        <v>333300</v>
      </c>
      <c r="C23" s="7"/>
      <c r="D23" s="4"/>
      <c r="E23" s="7"/>
      <c r="S23" s="8"/>
    </row>
    <row r="24" spans="1:19" customFormat="1" ht="12.75" x14ac:dyDescent="0.2">
      <c r="A24" s="42" t="s">
        <v>48</v>
      </c>
      <c r="B24" s="4">
        <v>310800</v>
      </c>
      <c r="C24" s="7"/>
      <c r="D24" s="4"/>
      <c r="E24" s="7"/>
      <c r="G24" s="44"/>
      <c r="H24" s="45"/>
      <c r="L24" s="45"/>
      <c r="S24" s="8"/>
    </row>
    <row r="25" spans="1:19" customFormat="1" ht="12.75" x14ac:dyDescent="0.2">
      <c r="A25" s="15" t="s">
        <v>49</v>
      </c>
      <c r="B25" s="4">
        <v>197600</v>
      </c>
      <c r="C25" s="7"/>
      <c r="D25" s="4"/>
      <c r="E25" s="7"/>
      <c r="G25" s="44"/>
      <c r="H25" s="45"/>
      <c r="L25" s="45"/>
      <c r="S25" s="8"/>
    </row>
    <row r="26" spans="1:19" customFormat="1" ht="12.75" x14ac:dyDescent="0.2">
      <c r="A26" s="15" t="s">
        <v>50</v>
      </c>
      <c r="B26" s="4">
        <v>69000</v>
      </c>
      <c r="C26" s="7"/>
      <c r="D26" s="4"/>
      <c r="E26" s="7"/>
      <c r="H26" s="18"/>
      <c r="L26" s="18"/>
      <c r="S26" s="8"/>
    </row>
    <row r="27" spans="1:19" customFormat="1" ht="12.75" x14ac:dyDescent="0.2">
      <c r="A27" s="15" t="s">
        <v>51</v>
      </c>
      <c r="B27" s="4">
        <v>1000000</v>
      </c>
      <c r="C27" s="7"/>
      <c r="D27" s="4"/>
      <c r="E27" s="7"/>
      <c r="H27" s="18"/>
      <c r="L27" s="18"/>
      <c r="S27" s="8"/>
    </row>
    <row r="28" spans="1:19" customFormat="1" ht="15" x14ac:dyDescent="0.35">
      <c r="A28" s="15" t="s">
        <v>80</v>
      </c>
      <c r="B28" s="4">
        <v>150000</v>
      </c>
      <c r="C28" s="10"/>
      <c r="D28" s="4"/>
      <c r="E28" s="7"/>
      <c r="H28" s="18"/>
      <c r="L28" s="18"/>
      <c r="S28" s="8"/>
    </row>
    <row r="29" spans="1:19" customFormat="1" ht="15" x14ac:dyDescent="0.35">
      <c r="A29" s="15" t="s">
        <v>81</v>
      </c>
      <c r="B29" s="4">
        <v>280000</v>
      </c>
      <c r="C29" s="10"/>
      <c r="D29" s="4"/>
      <c r="E29" s="7"/>
      <c r="H29" s="18"/>
      <c r="L29" s="18"/>
      <c r="S29" s="8"/>
    </row>
    <row r="30" spans="1:19" customFormat="1" ht="12.75" x14ac:dyDescent="0.2">
      <c r="A30" s="15"/>
      <c r="B30" s="4"/>
      <c r="C30" s="7"/>
      <c r="D30" s="4"/>
      <c r="E30" s="7"/>
      <c r="H30" s="18"/>
      <c r="L30" s="18"/>
      <c r="S30" s="8"/>
    </row>
    <row r="31" spans="1:19" customFormat="1" ht="16.5" x14ac:dyDescent="0.35">
      <c r="A31" s="35" t="s">
        <v>33</v>
      </c>
      <c r="B31" s="34">
        <f>SUM(B2:B27)</f>
        <v>12928880</v>
      </c>
      <c r="C31" s="10"/>
      <c r="S31" s="8"/>
    </row>
    <row r="32" spans="1:19" customFormat="1" ht="15" x14ac:dyDescent="0.35">
      <c r="A32" s="15"/>
      <c r="B32" s="33"/>
      <c r="C32" s="10"/>
      <c r="S32" s="8"/>
    </row>
    <row r="33" spans="1:19" customFormat="1" ht="12.75" x14ac:dyDescent="0.2">
      <c r="S33" s="8"/>
    </row>
    <row r="34" spans="1:19" customFormat="1" ht="20.100000000000001" customHeight="1" x14ac:dyDescent="0.25">
      <c r="A34" s="30"/>
      <c r="B34" s="41"/>
      <c r="C34" s="9"/>
      <c r="D34" s="6"/>
      <c r="E34" s="9"/>
      <c r="S34" s="8"/>
    </row>
    <row r="35" spans="1:19" s="15" customFormat="1" ht="15" x14ac:dyDescent="0.35">
      <c r="B35" s="16"/>
      <c r="C35" s="17"/>
      <c r="D35" s="16"/>
      <c r="E35" s="17"/>
      <c r="S35" s="47"/>
    </row>
    <row r="36" spans="1:19" customFormat="1" ht="15" x14ac:dyDescent="0.35">
      <c r="A36" s="15"/>
      <c r="B36" s="4"/>
      <c r="C36" s="11"/>
      <c r="D36" s="4"/>
      <c r="E36" s="11"/>
      <c r="S36" s="8"/>
    </row>
    <row r="37" spans="1:19" customFormat="1" ht="15" x14ac:dyDescent="0.35">
      <c r="A37" s="15"/>
      <c r="B37" s="4"/>
      <c r="C37" s="11"/>
      <c r="D37" s="4"/>
      <c r="E37" s="11"/>
      <c r="S37" s="8"/>
    </row>
    <row r="38" spans="1:19" customFormat="1" ht="15" x14ac:dyDescent="0.35">
      <c r="A38" s="15"/>
      <c r="B38" s="4"/>
      <c r="C38" s="11"/>
      <c r="D38" s="4"/>
      <c r="E38" s="11"/>
      <c r="S38" s="8"/>
    </row>
    <row r="39" spans="1:19" customFormat="1" ht="15" x14ac:dyDescent="0.35">
      <c r="A39" s="15"/>
      <c r="B39" s="4"/>
      <c r="C39" s="10"/>
      <c r="D39" s="4"/>
      <c r="E39" s="10"/>
      <c r="S39" s="8"/>
    </row>
    <row r="40" spans="1:19" customFormat="1" ht="15" x14ac:dyDescent="0.35">
      <c r="A40" s="15"/>
      <c r="B40" s="4"/>
      <c r="C40" s="11"/>
      <c r="D40" s="4"/>
      <c r="E40" s="11"/>
      <c r="S40" s="8"/>
    </row>
    <row r="41" spans="1:19" customFormat="1" ht="14.25" customHeight="1" x14ac:dyDescent="0.2">
      <c r="A41" s="15"/>
      <c r="B41" s="22"/>
      <c r="C41" s="9"/>
      <c r="D41" s="22"/>
      <c r="E41" s="9"/>
      <c r="S41" s="8"/>
    </row>
    <row r="42" spans="1:19" customFormat="1" ht="20.100000000000001" customHeight="1" x14ac:dyDescent="0.35">
      <c r="A42" s="36"/>
      <c r="B42" s="37"/>
      <c r="C42" s="11"/>
      <c r="D42" s="37"/>
      <c r="E42" s="11"/>
      <c r="S42" s="8"/>
    </row>
    <row r="43" spans="1:19" customFormat="1" ht="12.75" x14ac:dyDescent="0.2">
      <c r="S43" s="8"/>
    </row>
    <row r="44" spans="1:19" customFormat="1" ht="12.75" x14ac:dyDescent="0.2">
      <c r="S44" s="8"/>
    </row>
    <row r="45" spans="1:19" customFormat="1" ht="12.75" x14ac:dyDescent="0.2">
      <c r="S45" s="8"/>
    </row>
    <row r="46" spans="1:19" customFormat="1" ht="12.75" x14ac:dyDescent="0.2">
      <c r="S46" s="8"/>
    </row>
    <row r="47" spans="1:19" customFormat="1" ht="12.75" x14ac:dyDescent="0.2">
      <c r="A47" s="25" t="s">
        <v>26</v>
      </c>
      <c r="B47" s="18"/>
      <c r="S47" s="8"/>
    </row>
    <row r="48" spans="1:19" customFormat="1" ht="12.75" x14ac:dyDescent="0.2">
      <c r="A48" s="28" t="s">
        <v>25</v>
      </c>
      <c r="S48" s="8"/>
    </row>
    <row r="49" spans="1:19" customFormat="1" ht="12.75" x14ac:dyDescent="0.2">
      <c r="A49" t="s">
        <v>12</v>
      </c>
      <c r="B49" s="8">
        <v>1300000</v>
      </c>
      <c r="S49" s="8"/>
    </row>
    <row r="50" spans="1:19" customFormat="1" ht="12.75" x14ac:dyDescent="0.2">
      <c r="A50" s="15" t="s">
        <v>13</v>
      </c>
      <c r="B50" s="8">
        <v>250000</v>
      </c>
      <c r="S50" s="8"/>
    </row>
    <row r="51" spans="1:19" customFormat="1" ht="12.75" x14ac:dyDescent="0.2">
      <c r="A51" s="15" t="s">
        <v>5</v>
      </c>
      <c r="B51" s="8">
        <v>300000</v>
      </c>
      <c r="S51" s="8"/>
    </row>
    <row r="52" spans="1:19" customFormat="1" ht="12.75" x14ac:dyDescent="0.2">
      <c r="A52" s="15" t="s">
        <v>14</v>
      </c>
      <c r="B52" s="8">
        <v>130000</v>
      </c>
      <c r="S52" s="8"/>
    </row>
    <row r="53" spans="1:19" customFormat="1" ht="12.75" x14ac:dyDescent="0.2">
      <c r="A53" s="15" t="s">
        <v>15</v>
      </c>
      <c r="B53" s="8">
        <v>903020</v>
      </c>
      <c r="S53" s="8"/>
    </row>
    <row r="54" spans="1:19" customFormat="1" ht="12.75" x14ac:dyDescent="0.2">
      <c r="A54" s="15" t="s">
        <v>2</v>
      </c>
      <c r="B54" s="8">
        <v>1200000</v>
      </c>
      <c r="S54" s="8"/>
    </row>
    <row r="55" spans="1:19" customFormat="1" ht="12.75" x14ac:dyDescent="0.2">
      <c r="A55" s="15" t="s">
        <v>16</v>
      </c>
      <c r="B55" s="8">
        <v>20</v>
      </c>
      <c r="S55" s="8"/>
    </row>
    <row r="56" spans="1:19" customFormat="1" ht="12.75" x14ac:dyDescent="0.2">
      <c r="A56" s="15" t="s">
        <v>17</v>
      </c>
      <c r="B56" s="29">
        <v>120000</v>
      </c>
      <c r="S56" s="8"/>
    </row>
    <row r="57" spans="1:19" customFormat="1" ht="12.75" x14ac:dyDescent="0.2">
      <c r="A57" s="15" t="s">
        <v>6</v>
      </c>
      <c r="B57" s="8">
        <v>1000</v>
      </c>
      <c r="S57" s="8"/>
    </row>
    <row r="58" spans="1:19" customFormat="1" ht="12.75" x14ac:dyDescent="0.2">
      <c r="A58" s="15" t="s">
        <v>18</v>
      </c>
      <c r="B58" s="8">
        <v>60000</v>
      </c>
      <c r="S58" s="8"/>
    </row>
    <row r="59" spans="1:19" customFormat="1" ht="12.75" x14ac:dyDescent="0.2">
      <c r="A59" s="15" t="s">
        <v>19</v>
      </c>
      <c r="B59" s="8">
        <v>19000</v>
      </c>
      <c r="S59" s="8"/>
    </row>
    <row r="60" spans="1:19" customFormat="1" ht="12.75" x14ac:dyDescent="0.2">
      <c r="A60" s="26" t="s">
        <v>20</v>
      </c>
      <c r="B60" s="27">
        <f>SUM(B49:B59)</f>
        <v>4283040</v>
      </c>
      <c r="S60" s="8"/>
    </row>
    <row r="61" spans="1:19" customFormat="1" ht="12.75" x14ac:dyDescent="0.2">
      <c r="S61" s="8"/>
    </row>
    <row r="62" spans="1:19" customFormat="1" ht="12.75" x14ac:dyDescent="0.2">
      <c r="S62" s="8"/>
    </row>
    <row r="63" spans="1:19" customFormat="1" ht="12.75" x14ac:dyDescent="0.2">
      <c r="S63" s="8"/>
    </row>
    <row r="64" spans="1:19" customFormat="1" ht="12.75" x14ac:dyDescent="0.2">
      <c r="S64" s="8"/>
    </row>
    <row r="65" spans="19:19" customFormat="1" ht="12.75" x14ac:dyDescent="0.2">
      <c r="S65" s="8"/>
    </row>
    <row r="66" spans="19:19" customFormat="1" ht="12.75" x14ac:dyDescent="0.2">
      <c r="S66" s="8"/>
    </row>
    <row r="67" spans="19:19" customFormat="1" ht="12.75" x14ac:dyDescent="0.2">
      <c r="S67" s="8"/>
    </row>
    <row r="68" spans="19:19" customFormat="1" ht="12.75" x14ac:dyDescent="0.2">
      <c r="S68" s="8"/>
    </row>
    <row r="69" spans="19:19" customFormat="1" ht="12.75" x14ac:dyDescent="0.2">
      <c r="S69" s="8"/>
    </row>
    <row r="70" spans="19:19" customFormat="1" ht="12.75" x14ac:dyDescent="0.2">
      <c r="S70" s="8"/>
    </row>
    <row r="71" spans="19:19" customFormat="1" ht="12.75" x14ac:dyDescent="0.2">
      <c r="S71" s="8"/>
    </row>
    <row r="72" spans="19:19" customFormat="1" ht="12.75" x14ac:dyDescent="0.2">
      <c r="S72" s="8"/>
    </row>
    <row r="73" spans="19:19" customFormat="1" ht="12.75" x14ac:dyDescent="0.2">
      <c r="S73" s="8"/>
    </row>
    <row r="74" spans="19:19" customFormat="1" ht="12.75" x14ac:dyDescent="0.2">
      <c r="S74" s="8"/>
    </row>
    <row r="75" spans="19:19" customFormat="1" ht="12.75" x14ac:dyDescent="0.2">
      <c r="S75" s="8"/>
    </row>
    <row r="76" spans="19:19" customFormat="1" ht="12.75" x14ac:dyDescent="0.2">
      <c r="S76" s="8"/>
    </row>
    <row r="77" spans="19:19" customFormat="1" ht="12.75" x14ac:dyDescent="0.2">
      <c r="S77" s="8"/>
    </row>
    <row r="78" spans="19:19" customFormat="1" ht="12.75" x14ac:dyDescent="0.2">
      <c r="S78" s="8"/>
    </row>
    <row r="79" spans="19:19" customFormat="1" ht="12.75" x14ac:dyDescent="0.2">
      <c r="S79" s="8"/>
    </row>
    <row r="80" spans="19:19" customFormat="1" ht="12.75" x14ac:dyDescent="0.2">
      <c r="S80" s="8"/>
    </row>
    <row r="81" spans="19:19" customFormat="1" ht="12.75" x14ac:dyDescent="0.2">
      <c r="S81" s="8"/>
    </row>
    <row r="82" spans="19:19" customFormat="1" ht="12.75" x14ac:dyDescent="0.2">
      <c r="S82" s="8"/>
    </row>
    <row r="83" spans="19:19" customFormat="1" ht="12.75" x14ac:dyDescent="0.2">
      <c r="S83" s="8"/>
    </row>
    <row r="84" spans="19:19" customFormat="1" ht="12.75" x14ac:dyDescent="0.2">
      <c r="S84" s="8"/>
    </row>
    <row r="85" spans="19:19" customFormat="1" ht="12.75" x14ac:dyDescent="0.2">
      <c r="S85" s="8"/>
    </row>
    <row r="86" spans="19:19" customFormat="1" ht="12.75" x14ac:dyDescent="0.2">
      <c r="S86" s="8"/>
    </row>
    <row r="87" spans="19:19" customFormat="1" ht="12.75" x14ac:dyDescent="0.2">
      <c r="S87" s="8"/>
    </row>
    <row r="88" spans="19:19" customFormat="1" ht="12.75" x14ac:dyDescent="0.2">
      <c r="S88" s="8"/>
    </row>
    <row r="89" spans="19:19" customFormat="1" ht="12.75" x14ac:dyDescent="0.2">
      <c r="S89" s="8"/>
    </row>
    <row r="90" spans="19:19" customFormat="1" ht="12.75" x14ac:dyDescent="0.2">
      <c r="S90" s="8"/>
    </row>
    <row r="91" spans="19:19" customFormat="1" ht="12.75" x14ac:dyDescent="0.2">
      <c r="S91" s="8"/>
    </row>
    <row r="92" spans="19:19" customFormat="1" ht="12.75" x14ac:dyDescent="0.2">
      <c r="S92" s="8"/>
    </row>
    <row r="93" spans="19:19" customFormat="1" ht="12.75" x14ac:dyDescent="0.2">
      <c r="S93" s="8"/>
    </row>
    <row r="94" spans="19:19" customFormat="1" ht="12.75" x14ac:dyDescent="0.2">
      <c r="S94" s="8"/>
    </row>
    <row r="95" spans="19:19" customFormat="1" ht="12.75" x14ac:dyDescent="0.2">
      <c r="S95" s="8"/>
    </row>
    <row r="96" spans="19:19" customFormat="1" ht="12.75" x14ac:dyDescent="0.2">
      <c r="S96" s="8"/>
    </row>
    <row r="97" spans="19:19" customFormat="1" ht="12.75" x14ac:dyDescent="0.2">
      <c r="S97" s="8"/>
    </row>
    <row r="98" spans="19:19" customFormat="1" ht="12.75" x14ac:dyDescent="0.2">
      <c r="S98" s="8"/>
    </row>
    <row r="99" spans="19:19" customFormat="1" ht="12.75" x14ac:dyDescent="0.2">
      <c r="S99" s="8"/>
    </row>
    <row r="100" spans="19:19" customFormat="1" ht="12.75" x14ac:dyDescent="0.2">
      <c r="S100" s="8"/>
    </row>
    <row r="101" spans="19:19" customFormat="1" ht="12.75" x14ac:dyDescent="0.2">
      <c r="S101" s="8"/>
    </row>
    <row r="102" spans="19:19" customFormat="1" ht="12.75" x14ac:dyDescent="0.2">
      <c r="S102" s="8"/>
    </row>
    <row r="103" spans="19:19" customFormat="1" ht="12.75" x14ac:dyDescent="0.2">
      <c r="S103" s="8"/>
    </row>
    <row r="104" spans="19:19" customFormat="1" ht="12.75" x14ac:dyDescent="0.2">
      <c r="S104" s="8"/>
    </row>
    <row r="105" spans="19:19" customFormat="1" ht="12.75" x14ac:dyDescent="0.2">
      <c r="S105" s="8"/>
    </row>
    <row r="106" spans="19:19" customFormat="1" ht="12.75" x14ac:dyDescent="0.2">
      <c r="S106" s="8"/>
    </row>
    <row r="107" spans="19:19" customFormat="1" ht="12.75" x14ac:dyDescent="0.2">
      <c r="S107" s="8"/>
    </row>
    <row r="108" spans="19:19" customFormat="1" ht="12.75" x14ac:dyDescent="0.2">
      <c r="S108" s="8"/>
    </row>
    <row r="109" spans="19:19" customFormat="1" ht="12.75" x14ac:dyDescent="0.2">
      <c r="S109" s="8"/>
    </row>
    <row r="110" spans="19:19" customFormat="1" ht="12.75" x14ac:dyDescent="0.2">
      <c r="S110" s="8"/>
    </row>
    <row r="111" spans="19:19" customFormat="1" ht="12.75" x14ac:dyDescent="0.2">
      <c r="S111" s="8"/>
    </row>
    <row r="112" spans="19:19" customFormat="1" ht="12.75" x14ac:dyDescent="0.2">
      <c r="S112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22" zoomScale="120" zoomScaleNormal="120" workbookViewId="0">
      <selection activeCell="D41" sqref="D41"/>
    </sheetView>
  </sheetViews>
  <sheetFormatPr defaultRowHeight="12.75" x14ac:dyDescent="0.2"/>
  <cols>
    <col min="1" max="1" width="9.140625" style="130"/>
    <col min="2" max="2" width="28.28515625" customWidth="1"/>
    <col min="3" max="3" width="25.42578125" customWidth="1"/>
    <col min="4" max="4" width="25.28515625" style="130" customWidth="1"/>
    <col min="5" max="5" width="24.28515625" style="130" customWidth="1"/>
    <col min="6" max="6" width="33.140625" customWidth="1"/>
  </cols>
  <sheetData>
    <row r="1" spans="1:6" ht="21" thickBot="1" x14ac:dyDescent="0.25">
      <c r="A1" s="123" t="s">
        <v>163</v>
      </c>
    </row>
    <row r="2" spans="1:6" ht="18.75" x14ac:dyDescent="0.2">
      <c r="A2" s="730" t="s">
        <v>0</v>
      </c>
      <c r="B2" s="730" t="s">
        <v>164</v>
      </c>
      <c r="C2" s="730" t="s">
        <v>165</v>
      </c>
      <c r="D2" s="124" t="s">
        <v>166</v>
      </c>
      <c r="E2" s="124" t="s">
        <v>168</v>
      </c>
    </row>
    <row r="3" spans="1:6" ht="32.25" thickBot="1" x14ac:dyDescent="0.25">
      <c r="A3" s="731"/>
      <c r="B3" s="731"/>
      <c r="C3" s="731"/>
      <c r="D3" s="125" t="s">
        <v>167</v>
      </c>
      <c r="E3" s="125" t="s">
        <v>169</v>
      </c>
    </row>
    <row r="4" spans="1:6" ht="17.25" customHeight="1" thickBot="1" x14ac:dyDescent="0.25">
      <c r="A4" s="126">
        <v>1</v>
      </c>
      <c r="B4" s="127" t="s">
        <v>170</v>
      </c>
      <c r="C4" s="127" t="s">
        <v>171</v>
      </c>
      <c r="D4" s="131" t="s">
        <v>172</v>
      </c>
      <c r="E4" s="131" t="s">
        <v>173</v>
      </c>
    </row>
    <row r="5" spans="1:6" ht="17.25" customHeight="1" thickBot="1" x14ac:dyDescent="0.25">
      <c r="A5" s="126">
        <v>2</v>
      </c>
      <c r="B5" s="127" t="s">
        <v>174</v>
      </c>
      <c r="C5" s="127" t="s">
        <v>175</v>
      </c>
      <c r="D5" s="131" t="s">
        <v>176</v>
      </c>
      <c r="E5" s="131" t="s">
        <v>173</v>
      </c>
    </row>
    <row r="6" spans="1:6" ht="17.25" customHeight="1" thickBot="1" x14ac:dyDescent="0.25">
      <c r="A6" s="126">
        <v>3</v>
      </c>
      <c r="B6" s="127" t="s">
        <v>177</v>
      </c>
      <c r="C6" s="127" t="s">
        <v>178</v>
      </c>
      <c r="D6" s="131" t="s">
        <v>179</v>
      </c>
      <c r="E6" s="131" t="s">
        <v>173</v>
      </c>
    </row>
    <row r="7" spans="1:6" ht="17.25" customHeight="1" thickBot="1" x14ac:dyDescent="0.25">
      <c r="A7" s="126">
        <v>4</v>
      </c>
      <c r="B7" s="127" t="s">
        <v>180</v>
      </c>
      <c r="C7" s="127" t="s">
        <v>181</v>
      </c>
      <c r="D7" s="131" t="s">
        <v>179</v>
      </c>
      <c r="E7" s="131" t="s">
        <v>173</v>
      </c>
    </row>
    <row r="8" spans="1:6" ht="17.25" customHeight="1" thickBot="1" x14ac:dyDescent="0.25">
      <c r="A8" s="126">
        <v>5</v>
      </c>
      <c r="B8" s="127" t="s">
        <v>182</v>
      </c>
      <c r="C8" s="127" t="s">
        <v>183</v>
      </c>
      <c r="D8" s="131" t="s">
        <v>179</v>
      </c>
      <c r="E8" s="131" t="s">
        <v>173</v>
      </c>
    </row>
    <row r="9" spans="1:6" ht="17.25" customHeight="1" thickBot="1" x14ac:dyDescent="0.25">
      <c r="A9" s="126">
        <v>6</v>
      </c>
      <c r="B9" s="127" t="s">
        <v>184</v>
      </c>
      <c r="C9" s="127" t="s">
        <v>185</v>
      </c>
      <c r="D9" s="131" t="s">
        <v>179</v>
      </c>
      <c r="E9" s="131" t="s">
        <v>173</v>
      </c>
    </row>
    <row r="10" spans="1:6" ht="17.25" customHeight="1" thickBot="1" x14ac:dyDescent="0.25">
      <c r="A10" s="126">
        <v>7</v>
      </c>
      <c r="B10" s="127" t="s">
        <v>186</v>
      </c>
      <c r="C10" s="127" t="s">
        <v>183</v>
      </c>
      <c r="D10" s="131" t="s">
        <v>179</v>
      </c>
      <c r="E10" s="131" t="s">
        <v>173</v>
      </c>
    </row>
    <row r="11" spans="1:6" ht="17.25" customHeight="1" thickBot="1" x14ac:dyDescent="0.25">
      <c r="A11" s="126">
        <v>8</v>
      </c>
      <c r="B11" s="127" t="s">
        <v>187</v>
      </c>
      <c r="C11" s="127" t="s">
        <v>183</v>
      </c>
      <c r="D11" s="131" t="s">
        <v>179</v>
      </c>
      <c r="E11" s="131" t="s">
        <v>173</v>
      </c>
    </row>
    <row r="12" spans="1:6" ht="17.25" customHeight="1" thickBot="1" x14ac:dyDescent="0.25">
      <c r="A12" s="126">
        <v>14</v>
      </c>
      <c r="B12" s="127" t="s">
        <v>209</v>
      </c>
      <c r="C12" s="127" t="s">
        <v>210</v>
      </c>
      <c r="D12" s="131" t="s">
        <v>179</v>
      </c>
      <c r="E12" s="131" t="s">
        <v>173</v>
      </c>
    </row>
    <row r="13" spans="1:6" ht="17.25" customHeight="1" thickBot="1" x14ac:dyDescent="0.25">
      <c r="A13" s="126">
        <v>9</v>
      </c>
      <c r="B13" s="127" t="s">
        <v>188</v>
      </c>
      <c r="C13" s="127" t="s">
        <v>175</v>
      </c>
      <c r="D13" s="131" t="s">
        <v>179</v>
      </c>
      <c r="E13" s="131" t="s">
        <v>173</v>
      </c>
    </row>
    <row r="14" spans="1:6" ht="17.25" customHeight="1" thickBot="1" x14ac:dyDescent="0.25">
      <c r="A14" s="126">
        <v>10</v>
      </c>
      <c r="B14" s="127" t="s">
        <v>189</v>
      </c>
      <c r="C14" s="127" t="s">
        <v>183</v>
      </c>
      <c r="D14" s="131" t="s">
        <v>179</v>
      </c>
      <c r="E14" s="131" t="s">
        <v>173</v>
      </c>
    </row>
    <row r="15" spans="1:6" ht="17.25" customHeight="1" thickBot="1" x14ac:dyDescent="0.25">
      <c r="A15" s="126">
        <v>11</v>
      </c>
      <c r="B15" s="127" t="s">
        <v>190</v>
      </c>
      <c r="C15" s="127" t="s">
        <v>183</v>
      </c>
      <c r="D15" s="131" t="s">
        <v>179</v>
      </c>
      <c r="E15" s="131" t="s">
        <v>173</v>
      </c>
      <c r="F15" s="166" t="s">
        <v>262</v>
      </c>
    </row>
    <row r="16" spans="1:6" ht="17.25" customHeight="1" thickBot="1" x14ac:dyDescent="0.25">
      <c r="A16" s="126">
        <v>12</v>
      </c>
      <c r="B16" s="127" t="s">
        <v>191</v>
      </c>
      <c r="C16" s="127" t="s">
        <v>183</v>
      </c>
      <c r="D16" s="131" t="s">
        <v>179</v>
      </c>
      <c r="E16" s="131" t="s">
        <v>173</v>
      </c>
    </row>
    <row r="17" spans="1:7" ht="17.25" customHeight="1" thickBot="1" x14ac:dyDescent="0.25">
      <c r="A17" s="161">
        <v>13</v>
      </c>
      <c r="B17" s="162" t="s">
        <v>192</v>
      </c>
      <c r="C17" s="162" t="s">
        <v>183</v>
      </c>
      <c r="D17" s="163" t="s">
        <v>179</v>
      </c>
      <c r="E17" s="163" t="s">
        <v>256</v>
      </c>
      <c r="F17" s="164" t="s">
        <v>258</v>
      </c>
      <c r="G17" s="15" t="s">
        <v>261</v>
      </c>
    </row>
    <row r="18" spans="1:7" ht="17.25" customHeight="1" thickBot="1" x14ac:dyDescent="0.25">
      <c r="A18" s="161">
        <v>15</v>
      </c>
      <c r="B18" s="162" t="s">
        <v>193</v>
      </c>
      <c r="C18" s="162" t="s">
        <v>194</v>
      </c>
      <c r="D18" s="163" t="s">
        <v>179</v>
      </c>
      <c r="E18" s="163" t="s">
        <v>212</v>
      </c>
      <c r="F18" s="164" t="s">
        <v>258</v>
      </c>
      <c r="G18" s="15" t="s">
        <v>261</v>
      </c>
    </row>
    <row r="19" spans="1:7" ht="17.25" customHeight="1" thickBot="1" x14ac:dyDescent="0.25">
      <c r="A19" s="161">
        <v>16</v>
      </c>
      <c r="B19" s="162" t="s">
        <v>195</v>
      </c>
      <c r="C19" s="162" t="s">
        <v>196</v>
      </c>
      <c r="D19" s="163" t="s">
        <v>179</v>
      </c>
      <c r="E19" s="163" t="s">
        <v>211</v>
      </c>
      <c r="F19" s="164" t="s">
        <v>259</v>
      </c>
      <c r="G19" s="15" t="s">
        <v>261</v>
      </c>
    </row>
    <row r="20" spans="1:7" ht="17.25" customHeight="1" thickBot="1" x14ac:dyDescent="0.25">
      <c r="A20" s="161">
        <v>17</v>
      </c>
      <c r="B20" s="162" t="s">
        <v>197</v>
      </c>
      <c r="C20" s="162" t="s">
        <v>198</v>
      </c>
      <c r="D20" s="163" t="s">
        <v>179</v>
      </c>
      <c r="E20" s="163" t="s">
        <v>214</v>
      </c>
      <c r="F20" s="165" t="s">
        <v>260</v>
      </c>
      <c r="G20" s="15" t="s">
        <v>261</v>
      </c>
    </row>
    <row r="21" spans="1:7" ht="17.25" customHeight="1" thickBot="1" x14ac:dyDescent="0.25">
      <c r="A21" s="161">
        <v>18</v>
      </c>
      <c r="B21" s="162" t="s">
        <v>200</v>
      </c>
      <c r="C21" s="162" t="s">
        <v>201</v>
      </c>
      <c r="D21" s="163" t="s">
        <v>179</v>
      </c>
      <c r="E21" s="163" t="s">
        <v>213</v>
      </c>
      <c r="F21" s="165" t="s">
        <v>260</v>
      </c>
      <c r="G21" s="15" t="s">
        <v>261</v>
      </c>
    </row>
    <row r="22" spans="1:7" ht="17.25" customHeight="1" thickBot="1" x14ac:dyDescent="0.25">
      <c r="A22" s="126">
        <v>19</v>
      </c>
      <c r="B22" s="127" t="s">
        <v>202</v>
      </c>
      <c r="C22" s="127" t="s">
        <v>265</v>
      </c>
      <c r="D22" s="131" t="s">
        <v>203</v>
      </c>
      <c r="E22" s="131" t="s">
        <v>173</v>
      </c>
    </row>
    <row r="23" spans="1:7" ht="17.25" customHeight="1" thickBot="1" x14ac:dyDescent="0.25">
      <c r="A23" s="126">
        <v>20</v>
      </c>
      <c r="B23" s="127" t="s">
        <v>204</v>
      </c>
      <c r="C23" s="127" t="s">
        <v>205</v>
      </c>
      <c r="D23" s="131" t="s">
        <v>208</v>
      </c>
      <c r="E23" s="131" t="s">
        <v>173</v>
      </c>
    </row>
    <row r="24" spans="1:7" ht="17.25" customHeight="1" thickBot="1" x14ac:dyDescent="0.25">
      <c r="A24" s="129">
        <v>21</v>
      </c>
      <c r="B24" s="128" t="s">
        <v>206</v>
      </c>
      <c r="C24" s="128" t="s">
        <v>207</v>
      </c>
      <c r="D24" s="132" t="s">
        <v>208</v>
      </c>
      <c r="E24" s="129" t="s">
        <v>199</v>
      </c>
    </row>
    <row r="27" spans="1:7" ht="18.75" x14ac:dyDescent="0.2">
      <c r="A27" s="167">
        <v>1</v>
      </c>
      <c r="B27" s="15" t="s">
        <v>263</v>
      </c>
    </row>
    <row r="28" spans="1:7" x14ac:dyDescent="0.2">
      <c r="B28" s="166" t="s">
        <v>262</v>
      </c>
    </row>
    <row r="29" spans="1:7" x14ac:dyDescent="0.2">
      <c r="B29" s="15" t="s">
        <v>264</v>
      </c>
    </row>
    <row r="31" spans="1:7" x14ac:dyDescent="0.2">
      <c r="A31" s="168">
        <v>2</v>
      </c>
    </row>
  </sheetData>
  <mergeCells count="3"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2"/>
  <sheetViews>
    <sheetView zoomScale="110" zoomScaleNormal="110" workbookViewId="0">
      <pane xSplit="7" ySplit="6" topLeftCell="H55" activePane="bottomRight" state="frozen"/>
      <selection pane="topRight" activeCell="H1" sqref="H1"/>
      <selection pane="bottomLeft" activeCell="A7" sqref="A7"/>
      <selection pane="bottomRight" activeCell="V67" sqref="V67"/>
    </sheetView>
  </sheetViews>
  <sheetFormatPr defaultColWidth="14.42578125" defaultRowHeight="17.25" x14ac:dyDescent="0.4"/>
  <cols>
    <col min="1" max="1" width="2" style="744" customWidth="1"/>
    <col min="2" max="4" width="2.42578125" style="744" customWidth="1"/>
    <col min="5" max="5" width="55.42578125" style="744" customWidth="1"/>
    <col min="6" max="8" width="17.28515625" style="744" customWidth="1"/>
    <col min="9" max="9" width="19.5703125" style="744" customWidth="1"/>
    <col min="10" max="10" width="22.140625" style="744" hidden="1" customWidth="1"/>
    <col min="11" max="11" width="22.42578125" style="744" hidden="1" customWidth="1"/>
    <col min="12" max="12" width="22" style="744" hidden="1" customWidth="1"/>
    <col min="13" max="13" width="22.28515625" style="744" hidden="1" customWidth="1"/>
    <col min="14" max="14" width="22.42578125" style="744" hidden="1" customWidth="1"/>
    <col min="15" max="15" width="22.28515625" style="744" hidden="1" customWidth="1"/>
    <col min="16" max="16" width="22.85546875" style="744" hidden="1" customWidth="1"/>
    <col min="17" max="17" width="22.42578125" style="744" hidden="1" customWidth="1"/>
    <col min="18" max="18" width="22" style="744" hidden="1" customWidth="1"/>
    <col min="19" max="19" width="22.140625" style="744" hidden="1" customWidth="1"/>
    <col min="20" max="20" width="25.140625" style="744" hidden="1" customWidth="1"/>
    <col min="21" max="21" width="19.28515625" style="744" hidden="1" customWidth="1"/>
    <col min="22" max="22" width="21.85546875" style="744" customWidth="1"/>
    <col min="23" max="23" width="21.140625" style="744" hidden="1" customWidth="1"/>
    <col min="24" max="24" width="23.28515625" style="744" hidden="1" customWidth="1"/>
    <col min="25" max="25" width="18.85546875" style="744" hidden="1" customWidth="1"/>
    <col min="26" max="16384" width="14.42578125" style="744"/>
  </cols>
  <sheetData>
    <row r="1" spans="1:25" ht="24" x14ac:dyDescent="0.55000000000000004">
      <c r="A1" s="742" t="s">
        <v>556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3"/>
      <c r="T1" s="743"/>
      <c r="U1" s="743"/>
      <c r="V1" s="743"/>
      <c r="W1" s="743"/>
      <c r="X1" s="743"/>
      <c r="Y1" s="743"/>
    </row>
    <row r="2" spans="1:25" ht="24" x14ac:dyDescent="0.55000000000000004">
      <c r="A2" s="742" t="s">
        <v>437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3"/>
      <c r="U2" s="743"/>
      <c r="V2" s="743"/>
      <c r="W2" s="743"/>
      <c r="X2" s="743"/>
      <c r="Y2" s="743"/>
    </row>
    <row r="3" spans="1:25" ht="24" x14ac:dyDescent="0.55000000000000004">
      <c r="A3" s="742" t="s">
        <v>438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  <c r="T3" s="743"/>
      <c r="U3" s="743"/>
      <c r="V3" s="743"/>
      <c r="W3" s="743"/>
      <c r="X3" s="743"/>
      <c r="Y3" s="743"/>
    </row>
    <row r="4" spans="1:25" ht="24" x14ac:dyDescent="0.55000000000000004">
      <c r="A4" s="353"/>
      <c r="B4" s="353" t="s">
        <v>439</v>
      </c>
      <c r="C4" s="353"/>
      <c r="D4" s="353"/>
      <c r="E4" s="353" t="s">
        <v>440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745" t="s">
        <v>441</v>
      </c>
    </row>
    <row r="5" spans="1:25" ht="24" x14ac:dyDescent="0.4">
      <c r="A5" s="694"/>
      <c r="B5" s="746" t="s">
        <v>1</v>
      </c>
      <c r="C5" s="747"/>
      <c r="D5" s="747"/>
      <c r="E5" s="747"/>
      <c r="F5" s="748" t="s">
        <v>442</v>
      </c>
      <c r="G5" s="749"/>
      <c r="H5" s="750"/>
      <c r="I5" s="751" t="s">
        <v>443</v>
      </c>
      <c r="J5" s="752" t="s">
        <v>444</v>
      </c>
      <c r="K5" s="752" t="s">
        <v>445</v>
      </c>
      <c r="L5" s="752" t="s">
        <v>446</v>
      </c>
      <c r="M5" s="752" t="s">
        <v>702</v>
      </c>
      <c r="N5" s="752" t="s">
        <v>447</v>
      </c>
      <c r="O5" s="752" t="s">
        <v>448</v>
      </c>
      <c r="P5" s="752" t="s">
        <v>449</v>
      </c>
      <c r="Q5" s="752" t="s">
        <v>450</v>
      </c>
      <c r="R5" s="752" t="s">
        <v>451</v>
      </c>
      <c r="S5" s="752" t="s">
        <v>452</v>
      </c>
      <c r="T5" s="752" t="s">
        <v>453</v>
      </c>
      <c r="U5" s="752" t="s">
        <v>454</v>
      </c>
      <c r="V5" s="752" t="s">
        <v>703</v>
      </c>
      <c r="W5" s="752" t="s">
        <v>455</v>
      </c>
      <c r="X5" s="751" t="s">
        <v>456</v>
      </c>
      <c r="Y5" s="751" t="s">
        <v>457</v>
      </c>
    </row>
    <row r="6" spans="1:25" ht="24" x14ac:dyDescent="0.55000000000000004">
      <c r="A6" s="694"/>
      <c r="B6" s="753"/>
      <c r="C6" s="743"/>
      <c r="D6" s="743"/>
      <c r="E6" s="743"/>
      <c r="F6" s="754" t="s">
        <v>458</v>
      </c>
      <c r="G6" s="755" t="s">
        <v>285</v>
      </c>
      <c r="H6" s="755" t="s">
        <v>286</v>
      </c>
      <c r="I6" s="756"/>
      <c r="J6" s="756"/>
      <c r="K6" s="756"/>
      <c r="L6" s="756"/>
      <c r="M6" s="756"/>
      <c r="N6" s="756"/>
      <c r="O6" s="756"/>
      <c r="P6" s="756"/>
      <c r="Q6" s="756"/>
      <c r="R6" s="756"/>
      <c r="S6" s="756"/>
      <c r="T6" s="756"/>
      <c r="U6" s="756"/>
      <c r="V6" s="756"/>
      <c r="W6" s="756"/>
      <c r="X6" s="756"/>
      <c r="Y6" s="756"/>
    </row>
    <row r="7" spans="1:25" ht="24" x14ac:dyDescent="0.55000000000000004">
      <c r="A7" s="134"/>
      <c r="B7" s="757" t="s">
        <v>459</v>
      </c>
      <c r="C7" s="758"/>
      <c r="D7" s="758"/>
      <c r="E7" s="758"/>
      <c r="F7" s="759"/>
      <c r="G7" s="759"/>
      <c r="H7" s="759"/>
      <c r="I7" s="759"/>
      <c r="J7" s="760"/>
      <c r="K7" s="761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>
        <f t="shared" ref="V7:V23" si="0">SUM(J7:U7)</f>
        <v>0</v>
      </c>
      <c r="W7" s="762"/>
      <c r="X7" s="759"/>
      <c r="Y7" s="355"/>
    </row>
    <row r="8" spans="1:25" ht="24" x14ac:dyDescent="0.55000000000000004">
      <c r="A8" s="134"/>
      <c r="B8" s="763"/>
      <c r="C8" s="758" t="s">
        <v>460</v>
      </c>
      <c r="D8" s="758"/>
      <c r="E8" s="758"/>
      <c r="F8" s="764"/>
      <c r="G8" s="764"/>
      <c r="H8" s="764"/>
      <c r="I8" s="764"/>
      <c r="J8" s="765"/>
      <c r="K8" s="766"/>
      <c r="L8" s="767"/>
      <c r="M8" s="767"/>
      <c r="N8" s="767"/>
      <c r="O8" s="767"/>
      <c r="P8" s="767"/>
      <c r="Q8" s="767"/>
      <c r="R8" s="767"/>
      <c r="S8" s="767"/>
      <c r="T8" s="767"/>
      <c r="U8" s="767"/>
      <c r="V8" s="762">
        <f t="shared" si="0"/>
        <v>0</v>
      </c>
      <c r="W8" s="762"/>
      <c r="X8" s="764"/>
      <c r="Y8" s="764"/>
    </row>
    <row r="9" spans="1:25" ht="24" x14ac:dyDescent="0.55000000000000004">
      <c r="A9" s="134"/>
      <c r="B9" s="763"/>
      <c r="C9" s="758"/>
      <c r="D9" s="758"/>
      <c r="E9" s="768" t="s">
        <v>461</v>
      </c>
      <c r="F9" s="769">
        <v>66428310.640000001</v>
      </c>
      <c r="G9" s="770">
        <v>62214345.619999997</v>
      </c>
      <c r="H9" s="770">
        <v>92579273.719999999</v>
      </c>
      <c r="I9" s="770">
        <v>98672614.959999993</v>
      </c>
      <c r="J9" s="771">
        <v>24431307.219999999</v>
      </c>
      <c r="K9" s="772">
        <v>26956066</v>
      </c>
      <c r="L9" s="767">
        <v>9301866.0099999998</v>
      </c>
      <c r="M9" s="767">
        <v>35047774.439999998</v>
      </c>
      <c r="N9" s="767">
        <v>3423423.4</v>
      </c>
      <c r="O9" s="773">
        <v>4419916.12</v>
      </c>
      <c r="P9" s="773">
        <v>4245441.3600000003</v>
      </c>
      <c r="Q9" s="767">
        <v>3817423.36</v>
      </c>
      <c r="R9" s="767">
        <v>4415918.9800000004</v>
      </c>
      <c r="S9" s="767">
        <v>6153861.9699999997</v>
      </c>
      <c r="T9" s="767">
        <v>5105368.7</v>
      </c>
      <c r="U9" s="932">
        <v>15121606.380000001</v>
      </c>
      <c r="V9" s="762">
        <f t="shared" si="0"/>
        <v>142439973.94</v>
      </c>
      <c r="W9" s="762">
        <f t="shared" ref="W9:W15" si="1">(V9*100)/I9</f>
        <v>144.35613568946405</v>
      </c>
      <c r="X9" s="774">
        <v>108000000</v>
      </c>
      <c r="Y9" s="775">
        <v>110000000</v>
      </c>
    </row>
    <row r="10" spans="1:25" ht="24" x14ac:dyDescent="0.55000000000000004">
      <c r="A10" s="134"/>
      <c r="B10" s="763"/>
      <c r="C10" s="758"/>
      <c r="D10" s="758"/>
      <c r="E10" s="768" t="s">
        <v>462</v>
      </c>
      <c r="F10" s="776">
        <v>6886626.0199999996</v>
      </c>
      <c r="G10" s="777">
        <v>8223983.0899999999</v>
      </c>
      <c r="H10" s="777">
        <v>7389806.2300000004</v>
      </c>
      <c r="I10" s="777">
        <v>12796841.59</v>
      </c>
      <c r="J10" s="778" t="s">
        <v>217</v>
      </c>
      <c r="K10" s="779" t="s">
        <v>217</v>
      </c>
      <c r="L10" s="780"/>
      <c r="M10" s="780"/>
      <c r="N10" s="780"/>
      <c r="O10" s="781">
        <v>12659841.59</v>
      </c>
      <c r="P10" s="782"/>
      <c r="Q10" s="780"/>
      <c r="R10" s="780"/>
      <c r="S10" s="780"/>
      <c r="T10" s="780"/>
      <c r="U10" s="780"/>
      <c r="V10" s="762">
        <f t="shared" si="0"/>
        <v>12659841.59</v>
      </c>
      <c r="W10" s="762">
        <f t="shared" si="1"/>
        <v>98.929423334371364</v>
      </c>
      <c r="X10" s="783">
        <v>3300000</v>
      </c>
      <c r="Y10" s="784">
        <v>3500000</v>
      </c>
    </row>
    <row r="11" spans="1:25" ht="24" x14ac:dyDescent="0.55000000000000004">
      <c r="A11" s="134"/>
      <c r="B11" s="763"/>
      <c r="C11" s="758"/>
      <c r="D11" s="758"/>
      <c r="E11" s="785" t="s">
        <v>463</v>
      </c>
      <c r="F11" s="776">
        <v>339650</v>
      </c>
      <c r="G11" s="777">
        <v>610900</v>
      </c>
      <c r="H11" s="777">
        <v>366850</v>
      </c>
      <c r="I11" s="777">
        <v>299800</v>
      </c>
      <c r="J11" s="778" t="s">
        <v>217</v>
      </c>
      <c r="K11" s="779" t="s">
        <v>217</v>
      </c>
      <c r="L11" s="780">
        <v>56650</v>
      </c>
      <c r="M11" s="780">
        <v>24600</v>
      </c>
      <c r="N11" s="780">
        <v>30950</v>
      </c>
      <c r="O11" s="782"/>
      <c r="P11" s="782"/>
      <c r="Q11" s="780"/>
      <c r="R11" s="780"/>
      <c r="S11" s="780">
        <v>14100</v>
      </c>
      <c r="T11" s="780">
        <v>77700</v>
      </c>
      <c r="U11" s="780">
        <v>105300</v>
      </c>
      <c r="V11" s="762">
        <f t="shared" si="0"/>
        <v>309300</v>
      </c>
      <c r="W11" s="762">
        <f t="shared" si="1"/>
        <v>103.16877918612408</v>
      </c>
      <c r="X11" s="783">
        <v>350000</v>
      </c>
      <c r="Y11" s="784">
        <v>400000</v>
      </c>
    </row>
    <row r="12" spans="1:25" ht="24" x14ac:dyDescent="0.55000000000000004">
      <c r="A12" s="134"/>
      <c r="B12" s="763"/>
      <c r="C12" s="758"/>
      <c r="D12" s="758"/>
      <c r="E12" s="768" t="s">
        <v>464</v>
      </c>
      <c r="F12" s="776">
        <v>10405428.619999999</v>
      </c>
      <c r="G12" s="777">
        <v>11434897.550000001</v>
      </c>
      <c r="H12" s="777">
        <v>18592074.010000002</v>
      </c>
      <c r="I12" s="777">
        <v>18000000</v>
      </c>
      <c r="J12" s="778">
        <v>1767821.5</v>
      </c>
      <c r="K12" s="779">
        <v>1421315.08</v>
      </c>
      <c r="L12" s="786">
        <v>1866913.13</v>
      </c>
      <c r="M12" s="786">
        <v>1429126.91</v>
      </c>
      <c r="N12" s="786">
        <v>462617.46</v>
      </c>
      <c r="O12" s="787">
        <v>1706659.09</v>
      </c>
      <c r="P12" s="787">
        <v>1129307.9099999999</v>
      </c>
      <c r="Q12" s="786">
        <v>1097402.03</v>
      </c>
      <c r="R12" s="786">
        <v>625967.04</v>
      </c>
      <c r="S12" s="786">
        <v>1305891.4099999999</v>
      </c>
      <c r="T12" s="786">
        <v>1365297.48</v>
      </c>
      <c r="U12" s="786">
        <v>1276093.25</v>
      </c>
      <c r="V12" s="762">
        <f t="shared" si="0"/>
        <v>15454412.289999999</v>
      </c>
      <c r="W12" s="762">
        <f t="shared" si="1"/>
        <v>85.857846055555555</v>
      </c>
      <c r="X12" s="783">
        <v>18000000</v>
      </c>
      <c r="Y12" s="784">
        <v>18000000</v>
      </c>
    </row>
    <row r="13" spans="1:25" ht="24" x14ac:dyDescent="0.55000000000000004">
      <c r="A13" s="134"/>
      <c r="B13" s="763"/>
      <c r="C13" s="758"/>
      <c r="D13" s="758"/>
      <c r="E13" s="768" t="s">
        <v>465</v>
      </c>
      <c r="F13" s="776">
        <v>114437.25</v>
      </c>
      <c r="G13" s="777">
        <v>157816.75</v>
      </c>
      <c r="H13" s="777">
        <v>72101.25</v>
      </c>
      <c r="I13" s="777">
        <v>343591</v>
      </c>
      <c r="J13" s="778" t="s">
        <v>217</v>
      </c>
      <c r="K13" s="779" t="s">
        <v>217</v>
      </c>
      <c r="L13" s="786"/>
      <c r="M13" s="786">
        <v>20565</v>
      </c>
      <c r="N13" s="786"/>
      <c r="O13" s="787">
        <v>113570</v>
      </c>
      <c r="P13" s="787">
        <v>22291</v>
      </c>
      <c r="Q13" s="786"/>
      <c r="R13" s="786">
        <v>7568</v>
      </c>
      <c r="S13" s="786">
        <v>0</v>
      </c>
      <c r="T13" s="786">
        <v>42771.199999999997</v>
      </c>
      <c r="U13" s="786"/>
      <c r="V13" s="762">
        <f t="shared" si="0"/>
        <v>206765.2</v>
      </c>
      <c r="W13" s="762">
        <f t="shared" si="1"/>
        <v>60.177711290458717</v>
      </c>
      <c r="X13" s="783">
        <v>400000</v>
      </c>
      <c r="Y13" s="784">
        <v>450000</v>
      </c>
    </row>
    <row r="14" spans="1:25" ht="24" x14ac:dyDescent="0.55000000000000004">
      <c r="A14" s="134"/>
      <c r="B14" s="763"/>
      <c r="C14" s="758"/>
      <c r="D14" s="758"/>
      <c r="E14" s="785" t="s">
        <v>466</v>
      </c>
      <c r="F14" s="776">
        <v>1690410.46</v>
      </c>
      <c r="G14" s="777">
        <v>1512634.98</v>
      </c>
      <c r="H14" s="777">
        <v>1555748.77</v>
      </c>
      <c r="I14" s="777">
        <v>2770000</v>
      </c>
      <c r="J14" s="778">
        <v>4992.5</v>
      </c>
      <c r="K14" s="779">
        <v>10214</v>
      </c>
      <c r="L14" s="786">
        <v>1726175.41</v>
      </c>
      <c r="M14" s="786">
        <v>582771.93999999994</v>
      </c>
      <c r="N14" s="786"/>
      <c r="O14" s="787">
        <v>920</v>
      </c>
      <c r="P14" s="787">
        <v>793909.49</v>
      </c>
      <c r="Q14" s="786">
        <v>21403</v>
      </c>
      <c r="R14" s="786">
        <v>3366</v>
      </c>
      <c r="S14" s="786">
        <v>16652</v>
      </c>
      <c r="T14" s="786">
        <v>259809</v>
      </c>
      <c r="U14" s="786">
        <v>9540</v>
      </c>
      <c r="V14" s="762">
        <f t="shared" si="0"/>
        <v>3429753.34</v>
      </c>
      <c r="W14" s="762">
        <f t="shared" si="1"/>
        <v>123.81781010830325</v>
      </c>
      <c r="X14" s="783">
        <v>2900000</v>
      </c>
      <c r="Y14" s="784">
        <v>3000000</v>
      </c>
    </row>
    <row r="15" spans="1:25" ht="24" x14ac:dyDescent="0.55000000000000004">
      <c r="A15" s="134"/>
      <c r="B15" s="763"/>
      <c r="C15" s="758"/>
      <c r="D15" s="758"/>
      <c r="E15" s="785" t="s">
        <v>467</v>
      </c>
      <c r="F15" s="776">
        <v>1843846.47</v>
      </c>
      <c r="G15" s="777">
        <v>4971405.95</v>
      </c>
      <c r="H15" s="777">
        <v>13121491.15</v>
      </c>
      <c r="I15" s="777">
        <v>6807520</v>
      </c>
      <c r="J15" s="778">
        <v>2765870</v>
      </c>
      <c r="K15" s="779">
        <v>919520</v>
      </c>
      <c r="L15" s="786">
        <v>1073289.2</v>
      </c>
      <c r="M15" s="786">
        <v>568669.82999999996</v>
      </c>
      <c r="N15" s="786">
        <v>579307.47</v>
      </c>
      <c r="O15" s="787">
        <v>778242.68</v>
      </c>
      <c r="P15" s="787">
        <v>194684.55</v>
      </c>
      <c r="Q15" s="786">
        <v>85401.51</v>
      </c>
      <c r="R15" s="786">
        <v>943303</v>
      </c>
      <c r="S15" s="786">
        <v>16577.5</v>
      </c>
      <c r="T15" s="786">
        <v>322545.17</v>
      </c>
      <c r="U15" s="786">
        <v>758364.64</v>
      </c>
      <c r="V15" s="762">
        <f t="shared" si="0"/>
        <v>9005775.5499999989</v>
      </c>
      <c r="W15" s="762">
        <f t="shared" si="1"/>
        <v>132.29157681505157</v>
      </c>
      <c r="X15" s="783">
        <v>3000000</v>
      </c>
      <c r="Y15" s="784">
        <v>3000000</v>
      </c>
    </row>
    <row r="16" spans="1:25" ht="24" x14ac:dyDescent="0.55000000000000004">
      <c r="A16" s="134"/>
      <c r="B16" s="763"/>
      <c r="C16" s="758"/>
      <c r="D16" s="758"/>
      <c r="E16" s="785" t="s">
        <v>468</v>
      </c>
      <c r="F16" s="788"/>
      <c r="G16" s="777">
        <v>29313</v>
      </c>
      <c r="H16" s="777">
        <v>15747.17</v>
      </c>
      <c r="I16" s="789"/>
      <c r="J16" s="778" t="s">
        <v>217</v>
      </c>
      <c r="K16" s="779" t="s">
        <v>217</v>
      </c>
      <c r="L16" s="786"/>
      <c r="M16" s="786"/>
      <c r="N16" s="786"/>
      <c r="O16" s="782"/>
      <c r="P16" s="782"/>
      <c r="Q16" s="786"/>
      <c r="R16" s="786"/>
      <c r="S16" s="786"/>
      <c r="T16" s="786"/>
      <c r="U16" s="786"/>
      <c r="V16" s="762">
        <f t="shared" si="0"/>
        <v>0</v>
      </c>
      <c r="W16" s="762"/>
      <c r="X16" s="783"/>
      <c r="Y16" s="784">
        <v>0</v>
      </c>
    </row>
    <row r="17" spans="1:25" ht="24" x14ac:dyDescent="0.55000000000000004">
      <c r="A17" s="134"/>
      <c r="B17" s="763"/>
      <c r="C17" s="758"/>
      <c r="D17" s="758"/>
      <c r="E17" s="785" t="s">
        <v>469</v>
      </c>
      <c r="F17" s="776">
        <v>47506938.729999997</v>
      </c>
      <c r="G17" s="777">
        <v>44473027.210000001</v>
      </c>
      <c r="H17" s="777">
        <v>76420676.709999993</v>
      </c>
      <c r="I17" s="777">
        <v>50000000</v>
      </c>
      <c r="J17" s="778">
        <v>915969.97</v>
      </c>
      <c r="K17" s="779">
        <v>557616.44999999995</v>
      </c>
      <c r="L17" s="786">
        <v>546385.69999999995</v>
      </c>
      <c r="M17" s="786">
        <v>2130576.5099999998</v>
      </c>
      <c r="N17" s="786">
        <v>794703.5</v>
      </c>
      <c r="O17" s="787">
        <v>177018</v>
      </c>
      <c r="P17" s="787">
        <v>1666082.31</v>
      </c>
      <c r="Q17" s="786">
        <v>2198857.75</v>
      </c>
      <c r="R17" s="786">
        <v>2273947.25</v>
      </c>
      <c r="S17" s="786">
        <v>1319342.5</v>
      </c>
      <c r="T17" s="786">
        <v>1218376.5</v>
      </c>
      <c r="U17" s="786">
        <v>1359596.52</v>
      </c>
      <c r="V17" s="762">
        <f t="shared" si="0"/>
        <v>15158472.959999999</v>
      </c>
      <c r="W17" s="762">
        <f>(V17*100)/I17</f>
        <v>30.316945919999998</v>
      </c>
      <c r="X17" s="783">
        <v>30000000</v>
      </c>
      <c r="Y17" s="784">
        <v>30000000</v>
      </c>
    </row>
    <row r="18" spans="1:25" ht="24" x14ac:dyDescent="0.55000000000000004">
      <c r="A18" s="134"/>
      <c r="B18" s="763"/>
      <c r="C18" s="758" t="s">
        <v>470</v>
      </c>
      <c r="D18" s="758"/>
      <c r="E18" s="790"/>
      <c r="F18" s="764"/>
      <c r="G18" s="764"/>
      <c r="H18" s="764"/>
      <c r="I18" s="764"/>
      <c r="J18" s="791"/>
      <c r="K18" s="792"/>
      <c r="L18" s="786"/>
      <c r="M18" s="786"/>
      <c r="N18" s="786"/>
      <c r="O18" s="782"/>
      <c r="P18" s="786"/>
      <c r="Q18" s="786"/>
      <c r="R18" s="786"/>
      <c r="S18" s="786"/>
      <c r="T18" s="786"/>
      <c r="U18" s="786"/>
      <c r="V18" s="762">
        <f t="shared" si="0"/>
        <v>0</v>
      </c>
      <c r="W18" s="762"/>
      <c r="X18" s="793"/>
      <c r="Y18" s="764"/>
    </row>
    <row r="19" spans="1:25" ht="24" x14ac:dyDescent="0.55000000000000004">
      <c r="A19" s="134"/>
      <c r="B19" s="763"/>
      <c r="C19" s="758"/>
      <c r="D19" s="758"/>
      <c r="E19" s="785" t="s">
        <v>471</v>
      </c>
      <c r="F19" s="764"/>
      <c r="G19" s="764"/>
      <c r="H19" s="764"/>
      <c r="I19" s="764"/>
      <c r="J19" s="791"/>
      <c r="K19" s="792"/>
      <c r="L19" s="786"/>
      <c r="M19" s="786"/>
      <c r="N19" s="786"/>
      <c r="O19" s="782"/>
      <c r="P19" s="786"/>
      <c r="Q19" s="786"/>
      <c r="R19" s="786"/>
      <c r="S19" s="786"/>
      <c r="T19" s="786"/>
      <c r="U19" s="786"/>
      <c r="V19" s="762">
        <f t="shared" si="0"/>
        <v>0</v>
      </c>
      <c r="W19" s="762"/>
      <c r="X19" s="793"/>
      <c r="Y19" s="764"/>
    </row>
    <row r="20" spans="1:25" ht="24" x14ac:dyDescent="0.55000000000000004">
      <c r="A20" s="134"/>
      <c r="B20" s="763"/>
      <c r="C20" s="758"/>
      <c r="D20" s="758"/>
      <c r="E20" s="785" t="s">
        <v>472</v>
      </c>
      <c r="F20" s="764"/>
      <c r="G20" s="764"/>
      <c r="H20" s="764"/>
      <c r="I20" s="764"/>
      <c r="J20" s="794" t="s">
        <v>217</v>
      </c>
      <c r="K20" s="795" t="s">
        <v>217</v>
      </c>
      <c r="L20" s="420"/>
      <c r="M20" s="420"/>
      <c r="N20" s="420"/>
      <c r="O20" s="796"/>
      <c r="P20" s="420"/>
      <c r="Q20" s="420"/>
      <c r="R20" s="420"/>
      <c r="S20" s="420"/>
      <c r="T20" s="420"/>
      <c r="U20" s="420"/>
      <c r="V20" s="762">
        <f t="shared" si="0"/>
        <v>0</v>
      </c>
      <c r="W20" s="762"/>
      <c r="X20" s="793"/>
      <c r="Y20" s="764"/>
    </row>
    <row r="21" spans="1:25" ht="24" x14ac:dyDescent="0.55000000000000004">
      <c r="A21" s="134"/>
      <c r="B21" s="763"/>
      <c r="C21" s="758"/>
      <c r="D21" s="758"/>
      <c r="E21" s="785" t="s">
        <v>473</v>
      </c>
      <c r="F21" s="769">
        <v>1024389</v>
      </c>
      <c r="G21" s="770">
        <v>2415187.4</v>
      </c>
      <c r="H21" s="770">
        <v>735387.92</v>
      </c>
      <c r="I21" s="770">
        <v>800000</v>
      </c>
      <c r="J21" s="778">
        <v>559654</v>
      </c>
      <c r="K21" s="779">
        <v>90624.25</v>
      </c>
      <c r="L21" s="780">
        <v>120580.14</v>
      </c>
      <c r="M21" s="780">
        <v>48680.5</v>
      </c>
      <c r="N21" s="780">
        <v>35306</v>
      </c>
      <c r="O21" s="781">
        <v>32150</v>
      </c>
      <c r="P21" s="797">
        <v>152170</v>
      </c>
      <c r="Q21" s="780">
        <v>17630</v>
      </c>
      <c r="R21" s="780">
        <v>520690</v>
      </c>
      <c r="S21" s="780">
        <v>54820</v>
      </c>
      <c r="T21" s="780">
        <v>4701.45</v>
      </c>
      <c r="U21" s="780">
        <v>186970</v>
      </c>
      <c r="V21" s="762">
        <f t="shared" si="0"/>
        <v>1823976.34</v>
      </c>
      <c r="W21" s="762">
        <f t="shared" ref="W21:W24" si="2">(V21*100)/I21</f>
        <v>227.99704249999999</v>
      </c>
      <c r="X21" s="774">
        <v>900000</v>
      </c>
      <c r="Y21" s="775">
        <v>1000000</v>
      </c>
    </row>
    <row r="22" spans="1:25" ht="24" x14ac:dyDescent="0.55000000000000004">
      <c r="A22" s="134"/>
      <c r="B22" s="763"/>
      <c r="C22" s="758"/>
      <c r="D22" s="758"/>
      <c r="E22" s="785" t="s">
        <v>474</v>
      </c>
      <c r="F22" s="776">
        <v>118485.86</v>
      </c>
      <c r="G22" s="777">
        <v>101369.62</v>
      </c>
      <c r="H22" s="777">
        <v>166645.04</v>
      </c>
      <c r="I22" s="777">
        <v>200000</v>
      </c>
      <c r="J22" s="778" t="s">
        <v>217</v>
      </c>
      <c r="K22" s="792"/>
      <c r="L22" s="786">
        <v>47430.96</v>
      </c>
      <c r="M22" s="786"/>
      <c r="N22" s="786"/>
      <c r="O22" s="787">
        <v>145116.12</v>
      </c>
      <c r="P22" s="782"/>
      <c r="Q22" s="786"/>
      <c r="R22" s="786">
        <v>40626.53</v>
      </c>
      <c r="S22" s="786">
        <v>0</v>
      </c>
      <c r="T22" s="786"/>
      <c r="U22" s="786">
        <v>184870.35</v>
      </c>
      <c r="V22" s="762">
        <f t="shared" si="0"/>
        <v>418043.95999999996</v>
      </c>
      <c r="W22" s="762">
        <f t="shared" si="2"/>
        <v>209.02198000000001</v>
      </c>
      <c r="X22" s="783">
        <v>210000</v>
      </c>
      <c r="Y22" s="784">
        <v>220000</v>
      </c>
    </row>
    <row r="23" spans="1:25" ht="24" x14ac:dyDescent="0.55000000000000004">
      <c r="A23" s="134"/>
      <c r="B23" s="763"/>
      <c r="C23" s="758"/>
      <c r="D23" s="758"/>
      <c r="E23" s="785" t="s">
        <v>475</v>
      </c>
      <c r="F23" s="776">
        <v>5665316.54</v>
      </c>
      <c r="G23" s="777">
        <v>6007742.6500000004</v>
      </c>
      <c r="H23" s="777">
        <v>10455773.33</v>
      </c>
      <c r="I23" s="777">
        <v>7000000</v>
      </c>
      <c r="J23" s="794">
        <v>998439.78</v>
      </c>
      <c r="K23" s="795">
        <v>166770.29999999999</v>
      </c>
      <c r="L23" s="420">
        <v>533252.38</v>
      </c>
      <c r="M23" s="420">
        <v>84759.5</v>
      </c>
      <c r="N23" s="420">
        <v>420208.7</v>
      </c>
      <c r="O23" s="798">
        <v>950475.5</v>
      </c>
      <c r="P23" s="798">
        <v>621183.23</v>
      </c>
      <c r="Q23" s="420">
        <v>441111.4</v>
      </c>
      <c r="R23" s="420">
        <v>496663.82</v>
      </c>
      <c r="S23" s="420">
        <v>83259.75</v>
      </c>
      <c r="T23" s="420">
        <v>769081.82</v>
      </c>
      <c r="U23" s="420">
        <v>1047587.6</v>
      </c>
      <c r="V23" s="762">
        <f t="shared" si="0"/>
        <v>6612793.7800000003</v>
      </c>
      <c r="W23" s="762">
        <f t="shared" si="2"/>
        <v>94.468482571428567</v>
      </c>
      <c r="X23" s="783">
        <v>8000000</v>
      </c>
      <c r="Y23" s="784">
        <v>11000000</v>
      </c>
    </row>
    <row r="24" spans="1:25" ht="24" x14ac:dyDescent="0.55000000000000004">
      <c r="A24" s="134" t="s">
        <v>476</v>
      </c>
      <c r="B24" s="763"/>
      <c r="C24" s="799"/>
      <c r="D24" s="799"/>
      <c r="E24" s="800" t="s">
        <v>477</v>
      </c>
      <c r="F24" s="764">
        <f t="shared" ref="F24:V24" si="3">SUM(F9:F23)</f>
        <v>142023839.59</v>
      </c>
      <c r="G24" s="764">
        <f t="shared" si="3"/>
        <v>142152623.82000002</v>
      </c>
      <c r="H24" s="764">
        <f t="shared" si="3"/>
        <v>221471575.29999998</v>
      </c>
      <c r="I24" s="764">
        <f t="shared" si="3"/>
        <v>197690367.55000001</v>
      </c>
      <c r="J24" s="764">
        <f t="shared" si="3"/>
        <v>31444054.969999999</v>
      </c>
      <c r="K24" s="764">
        <f t="shared" si="3"/>
        <v>30122126.079999998</v>
      </c>
      <c r="L24" s="764">
        <f t="shared" si="3"/>
        <v>15272542.930000002</v>
      </c>
      <c r="M24" s="764">
        <f t="shared" si="3"/>
        <v>39937524.629999988</v>
      </c>
      <c r="N24" s="764">
        <f t="shared" si="3"/>
        <v>5746516.5300000003</v>
      </c>
      <c r="O24" s="776">
        <f t="shared" si="3"/>
        <v>20983909.100000001</v>
      </c>
      <c r="P24" s="776">
        <f t="shared" si="3"/>
        <v>8825069.8500000015</v>
      </c>
      <c r="Q24" s="776">
        <f t="shared" si="3"/>
        <v>7679229.0499999998</v>
      </c>
      <c r="R24" s="776">
        <f t="shared" si="3"/>
        <v>9328050.6199999992</v>
      </c>
      <c r="S24" s="776">
        <f t="shared" si="3"/>
        <v>8964505.129999999</v>
      </c>
      <c r="T24" s="776">
        <f t="shared" si="3"/>
        <v>9165651.3200000003</v>
      </c>
      <c r="U24" s="776">
        <f t="shared" si="3"/>
        <v>20049928.740000002</v>
      </c>
      <c r="V24" s="776">
        <f t="shared" si="3"/>
        <v>207519108.95000002</v>
      </c>
      <c r="W24" s="762">
        <f t="shared" si="2"/>
        <v>104.97178568779488</v>
      </c>
      <c r="X24" s="764">
        <f t="shared" ref="X24:Y24" si="4">SUM(X9:X23)</f>
        <v>175060000</v>
      </c>
      <c r="Y24" s="764">
        <f t="shared" si="4"/>
        <v>180570000</v>
      </c>
    </row>
    <row r="25" spans="1:25" ht="24" x14ac:dyDescent="0.55000000000000004">
      <c r="A25" s="134"/>
      <c r="B25" s="801" t="s">
        <v>478</v>
      </c>
      <c r="C25" s="802"/>
      <c r="D25" s="802"/>
      <c r="E25" s="790"/>
      <c r="F25" s="764"/>
      <c r="G25" s="764"/>
      <c r="H25" s="764"/>
      <c r="I25" s="764"/>
      <c r="J25" s="803"/>
      <c r="K25" s="804"/>
      <c r="L25" s="420"/>
      <c r="M25" s="420"/>
      <c r="N25" s="420"/>
      <c r="O25" s="796"/>
      <c r="P25" s="420"/>
      <c r="Q25" s="420"/>
      <c r="R25" s="420"/>
      <c r="S25" s="420"/>
      <c r="T25" s="420"/>
      <c r="U25" s="420"/>
      <c r="V25" s="762">
        <f t="shared" ref="V25:V59" si="5">SUM(J25:U25)</f>
        <v>0</v>
      </c>
      <c r="W25" s="762"/>
      <c r="X25" s="764"/>
      <c r="Y25" s="356">
        <v>0</v>
      </c>
    </row>
    <row r="26" spans="1:25" ht="24" x14ac:dyDescent="0.55000000000000004">
      <c r="A26" s="134"/>
      <c r="B26" s="799"/>
      <c r="C26" s="805" t="s">
        <v>479</v>
      </c>
      <c r="D26" s="758"/>
      <c r="E26" s="790"/>
      <c r="F26" s="764"/>
      <c r="G26" s="764"/>
      <c r="H26" s="764"/>
      <c r="I26" s="764"/>
      <c r="J26" s="803"/>
      <c r="K26" s="804"/>
      <c r="L26" s="420"/>
      <c r="M26" s="420"/>
      <c r="N26" s="420"/>
      <c r="O26" s="796"/>
      <c r="P26" s="420"/>
      <c r="Q26" s="420"/>
      <c r="R26" s="420"/>
      <c r="S26" s="420"/>
      <c r="T26" s="420"/>
      <c r="U26" s="420"/>
      <c r="V26" s="762">
        <f t="shared" si="5"/>
        <v>0</v>
      </c>
      <c r="W26" s="762"/>
      <c r="X26" s="764"/>
      <c r="Y26" s="764"/>
    </row>
    <row r="27" spans="1:25" ht="24" x14ac:dyDescent="0.55000000000000004">
      <c r="A27" s="134"/>
      <c r="B27" s="806"/>
      <c r="C27" s="805"/>
      <c r="D27" s="758"/>
      <c r="E27" s="785" t="s">
        <v>480</v>
      </c>
      <c r="F27" s="807">
        <v>14814324</v>
      </c>
      <c r="G27" s="808">
        <v>12169538.02</v>
      </c>
      <c r="H27" s="808">
        <v>14177206.49</v>
      </c>
      <c r="I27" s="808">
        <v>16052752</v>
      </c>
      <c r="J27" s="809">
        <v>1620732.69</v>
      </c>
      <c r="K27" s="810">
        <v>1597772.74</v>
      </c>
      <c r="L27" s="811">
        <v>1613132.07</v>
      </c>
      <c r="M27" s="811">
        <v>1541389.77</v>
      </c>
      <c r="N27" s="811">
        <v>1578878.84</v>
      </c>
      <c r="O27" s="787">
        <v>1200065</v>
      </c>
      <c r="P27" s="812">
        <v>1185826</v>
      </c>
      <c r="Q27" s="811">
        <v>1145915.04</v>
      </c>
      <c r="R27" s="811">
        <v>1582915.53</v>
      </c>
      <c r="S27" s="811">
        <v>1603566.67</v>
      </c>
      <c r="T27" s="811">
        <v>1627185.24</v>
      </c>
      <c r="U27" s="811">
        <v>1622822.95</v>
      </c>
      <c r="V27" s="762">
        <f t="shared" si="5"/>
        <v>17920202.539999999</v>
      </c>
      <c r="W27" s="762">
        <f t="shared" ref="W27:W31" si="6">(V27*100)/I27</f>
        <v>111.63321117774697</v>
      </c>
      <c r="X27" s="813">
        <v>16500000</v>
      </c>
      <c r="Y27" s="775">
        <v>16500000</v>
      </c>
    </row>
    <row r="28" spans="1:25" ht="24" x14ac:dyDescent="0.55000000000000004">
      <c r="A28" s="134"/>
      <c r="B28" s="806"/>
      <c r="C28" s="805"/>
      <c r="D28" s="758"/>
      <c r="E28" s="785" t="s">
        <v>481</v>
      </c>
      <c r="F28" s="776">
        <v>13495792</v>
      </c>
      <c r="G28" s="777">
        <v>14040856.35</v>
      </c>
      <c r="H28" s="777">
        <v>15596170.300000001</v>
      </c>
      <c r="I28" s="777">
        <v>12499278.51</v>
      </c>
      <c r="J28" s="794">
        <v>1019438.51</v>
      </c>
      <c r="K28" s="795">
        <v>1126522.01</v>
      </c>
      <c r="L28" s="420">
        <v>1129473.25</v>
      </c>
      <c r="M28" s="420">
        <v>1226179.8700000001</v>
      </c>
      <c r="N28" s="420">
        <v>1143387.74</v>
      </c>
      <c r="O28" s="798">
        <v>936064.13</v>
      </c>
      <c r="P28" s="798">
        <v>1163292.8</v>
      </c>
      <c r="Q28" s="420">
        <v>1255570.8600000001</v>
      </c>
      <c r="R28" s="420">
        <v>1210852.79</v>
      </c>
      <c r="S28" s="420">
        <v>1104877.71</v>
      </c>
      <c r="T28" s="420">
        <v>1627332.47</v>
      </c>
      <c r="U28" s="420">
        <v>1268320.53</v>
      </c>
      <c r="V28" s="762">
        <f t="shared" si="5"/>
        <v>14211312.670000002</v>
      </c>
      <c r="W28" s="762">
        <f t="shared" si="6"/>
        <v>113.69706386356857</v>
      </c>
      <c r="X28" s="814">
        <v>13700000</v>
      </c>
      <c r="Y28" s="784">
        <v>14000000</v>
      </c>
    </row>
    <row r="29" spans="1:25" ht="24" x14ac:dyDescent="0.55000000000000004">
      <c r="A29" s="357"/>
      <c r="B29" s="815"/>
      <c r="C29" s="816"/>
      <c r="D29" s="817"/>
      <c r="E29" s="785" t="s">
        <v>482</v>
      </c>
      <c r="F29" s="776">
        <v>1261800</v>
      </c>
      <c r="G29" s="777">
        <v>1431120</v>
      </c>
      <c r="H29" s="777">
        <v>1351620</v>
      </c>
      <c r="I29" s="777">
        <v>1500000</v>
      </c>
      <c r="J29" s="794">
        <v>102540</v>
      </c>
      <c r="K29" s="795">
        <v>108720</v>
      </c>
      <c r="L29" s="420">
        <v>101520</v>
      </c>
      <c r="M29" s="420">
        <v>108420</v>
      </c>
      <c r="N29" s="420">
        <v>108420</v>
      </c>
      <c r="O29" s="798">
        <v>173730</v>
      </c>
      <c r="P29" s="798">
        <v>164640</v>
      </c>
      <c r="Q29" s="420">
        <v>185670</v>
      </c>
      <c r="R29" s="420">
        <v>190590</v>
      </c>
      <c r="S29" s="420">
        <v>185070</v>
      </c>
      <c r="T29" s="420">
        <v>185449.5</v>
      </c>
      <c r="U29" s="420">
        <v>192870</v>
      </c>
      <c r="V29" s="762">
        <f t="shared" si="5"/>
        <v>1807639.5</v>
      </c>
      <c r="W29" s="762">
        <f t="shared" si="6"/>
        <v>120.5093</v>
      </c>
      <c r="X29" s="814">
        <v>1575000</v>
      </c>
      <c r="Y29" s="784">
        <v>1600000</v>
      </c>
    </row>
    <row r="30" spans="1:25" ht="24" x14ac:dyDescent="0.55000000000000004">
      <c r="A30" s="357"/>
      <c r="B30" s="815"/>
      <c r="C30" s="816"/>
      <c r="D30" s="817"/>
      <c r="E30" s="785" t="s">
        <v>483</v>
      </c>
      <c r="F30" s="776">
        <v>1550000</v>
      </c>
      <c r="G30" s="777">
        <v>1680000</v>
      </c>
      <c r="H30" s="777">
        <v>1990000</v>
      </c>
      <c r="I30" s="777">
        <v>1990000</v>
      </c>
      <c r="J30" s="794">
        <v>155000</v>
      </c>
      <c r="K30" s="795">
        <v>145000</v>
      </c>
      <c r="L30" s="420">
        <v>138250</v>
      </c>
      <c r="M30" s="420">
        <v>138250</v>
      </c>
      <c r="N30" s="420">
        <v>138250</v>
      </c>
      <c r="O30" s="798">
        <v>138250</v>
      </c>
      <c r="P30" s="798">
        <v>138250</v>
      </c>
      <c r="Q30" s="420">
        <v>138250</v>
      </c>
      <c r="R30" s="420">
        <v>138250</v>
      </c>
      <c r="S30" s="420">
        <v>166750</v>
      </c>
      <c r="T30" s="420">
        <v>162750</v>
      </c>
      <c r="U30" s="420">
        <v>152750</v>
      </c>
      <c r="V30" s="762">
        <f t="shared" si="5"/>
        <v>1750000</v>
      </c>
      <c r="W30" s="762">
        <f t="shared" si="6"/>
        <v>87.939698492462313</v>
      </c>
      <c r="X30" s="814">
        <v>2130000</v>
      </c>
      <c r="Y30" s="784">
        <v>2130000</v>
      </c>
    </row>
    <row r="31" spans="1:25" ht="24" x14ac:dyDescent="0.55000000000000004">
      <c r="A31" s="357"/>
      <c r="B31" s="815"/>
      <c r="C31" s="816"/>
      <c r="D31" s="817"/>
      <c r="E31" s="785" t="s">
        <v>484</v>
      </c>
      <c r="F31" s="776">
        <v>9021676.1600000001</v>
      </c>
      <c r="G31" s="777">
        <v>7650035</v>
      </c>
      <c r="H31" s="777">
        <v>7838680</v>
      </c>
      <c r="I31" s="777">
        <v>8488000</v>
      </c>
      <c r="J31" s="794">
        <v>992500</v>
      </c>
      <c r="K31" s="795" t="s">
        <v>217</v>
      </c>
      <c r="L31" s="420">
        <v>365100</v>
      </c>
      <c r="M31" s="420">
        <v>747688.95</v>
      </c>
      <c r="N31" s="420">
        <v>0</v>
      </c>
      <c r="O31" s="798">
        <v>373100</v>
      </c>
      <c r="P31" s="796"/>
      <c r="Q31" s="420">
        <v>1657109.9</v>
      </c>
      <c r="R31" s="420">
        <v>977655</v>
      </c>
      <c r="S31" s="420">
        <v>968795</v>
      </c>
      <c r="T31" s="420">
        <v>909355</v>
      </c>
      <c r="U31" s="420">
        <v>957555</v>
      </c>
      <c r="V31" s="762">
        <f t="shared" si="5"/>
        <v>7948858.8499999996</v>
      </c>
      <c r="W31" s="762">
        <f t="shared" si="6"/>
        <v>93.648195688030157</v>
      </c>
      <c r="X31" s="814">
        <v>9500000</v>
      </c>
      <c r="Y31" s="784">
        <v>10000000</v>
      </c>
    </row>
    <row r="32" spans="1:25" ht="24" x14ac:dyDescent="0.55000000000000004">
      <c r="A32" s="357"/>
      <c r="B32" s="815"/>
      <c r="C32" s="816"/>
      <c r="D32" s="817"/>
      <c r="E32" s="785" t="s">
        <v>485</v>
      </c>
      <c r="F32" s="788"/>
      <c r="G32" s="789"/>
      <c r="H32" s="789"/>
      <c r="I32" s="789"/>
      <c r="J32" s="803"/>
      <c r="K32" s="804"/>
      <c r="L32" s="420"/>
      <c r="M32" s="420"/>
      <c r="N32" s="420"/>
      <c r="O32" s="796"/>
      <c r="P32" s="796"/>
      <c r="Q32" s="420"/>
      <c r="R32" s="420"/>
      <c r="S32" s="420"/>
      <c r="T32" s="420"/>
      <c r="U32" s="420"/>
      <c r="V32" s="762">
        <f t="shared" si="5"/>
        <v>0</v>
      </c>
      <c r="W32" s="762"/>
      <c r="X32" s="764"/>
      <c r="Y32" s="764"/>
    </row>
    <row r="33" spans="1:25" ht="24" x14ac:dyDescent="0.55000000000000004">
      <c r="A33" s="357"/>
      <c r="B33" s="815"/>
      <c r="C33" s="816"/>
      <c r="D33" s="817"/>
      <c r="E33" s="785" t="s">
        <v>486</v>
      </c>
      <c r="F33" s="818">
        <v>26800</v>
      </c>
      <c r="G33" s="819">
        <v>24500</v>
      </c>
      <c r="H33" s="819">
        <v>35000</v>
      </c>
      <c r="I33" s="820">
        <v>90000</v>
      </c>
      <c r="J33" s="794">
        <v>6000</v>
      </c>
      <c r="K33" s="795">
        <v>6000</v>
      </c>
      <c r="L33" s="420">
        <v>6000</v>
      </c>
      <c r="M33" s="420">
        <v>9000</v>
      </c>
      <c r="N33" s="420">
        <v>9000</v>
      </c>
      <c r="O33" s="798">
        <v>9000</v>
      </c>
      <c r="P33" s="798">
        <v>7500</v>
      </c>
      <c r="Q33" s="420">
        <v>7500</v>
      </c>
      <c r="R33" s="420">
        <v>10500</v>
      </c>
      <c r="S33" s="420">
        <v>25000</v>
      </c>
      <c r="T33" s="420">
        <v>7500</v>
      </c>
      <c r="U33" s="420">
        <v>1500</v>
      </c>
      <c r="V33" s="762">
        <f t="shared" si="5"/>
        <v>104500</v>
      </c>
      <c r="W33" s="762">
        <f>(V33*100)/I33</f>
        <v>116.11111111111111</v>
      </c>
      <c r="X33" s="813">
        <v>53000</v>
      </c>
      <c r="Y33" s="775">
        <v>53000</v>
      </c>
    </row>
    <row r="34" spans="1:25" ht="24" x14ac:dyDescent="0.55000000000000004">
      <c r="A34" s="357"/>
      <c r="B34" s="815"/>
      <c r="C34" s="816"/>
      <c r="D34" s="817"/>
      <c r="E34" s="785" t="s">
        <v>487</v>
      </c>
      <c r="F34" s="788"/>
      <c r="G34" s="789"/>
      <c r="H34" s="789"/>
      <c r="I34" s="821"/>
      <c r="J34" s="803"/>
      <c r="K34" s="804"/>
      <c r="L34" s="420"/>
      <c r="M34" s="420"/>
      <c r="N34" s="420"/>
      <c r="O34" s="796"/>
      <c r="P34" s="420"/>
      <c r="Q34" s="420"/>
      <c r="R34" s="420"/>
      <c r="S34" s="420"/>
      <c r="T34" s="420"/>
      <c r="U34" s="420"/>
      <c r="V34" s="762">
        <f t="shared" si="5"/>
        <v>0</v>
      </c>
      <c r="W34" s="762"/>
      <c r="X34" s="764"/>
      <c r="Y34" s="764"/>
    </row>
    <row r="35" spans="1:25" ht="24" x14ac:dyDescent="0.55000000000000004">
      <c r="A35" s="357"/>
      <c r="B35" s="806"/>
      <c r="C35" s="805"/>
      <c r="D35" s="758"/>
      <c r="E35" s="785" t="s">
        <v>488</v>
      </c>
      <c r="F35" s="788"/>
      <c r="G35" s="789"/>
      <c r="H35" s="789"/>
      <c r="I35" s="789"/>
      <c r="J35" s="803"/>
      <c r="K35" s="804"/>
      <c r="L35" s="420"/>
      <c r="M35" s="420"/>
      <c r="N35" s="420"/>
      <c r="O35" s="796"/>
      <c r="P35" s="420"/>
      <c r="Q35" s="420"/>
      <c r="R35" s="420"/>
      <c r="S35" s="420"/>
      <c r="T35" s="420"/>
      <c r="U35" s="420"/>
      <c r="V35" s="762">
        <f t="shared" si="5"/>
        <v>0</v>
      </c>
      <c r="W35" s="762"/>
      <c r="X35" s="764"/>
      <c r="Y35" s="764"/>
    </row>
    <row r="36" spans="1:25" ht="24" x14ac:dyDescent="0.55000000000000004">
      <c r="A36" s="357"/>
      <c r="B36" s="806"/>
      <c r="C36" s="805"/>
      <c r="D36" s="758"/>
      <c r="E36" s="785" t="s">
        <v>489</v>
      </c>
      <c r="F36" s="788"/>
      <c r="G36" s="789"/>
      <c r="H36" s="789"/>
      <c r="I36" s="789"/>
      <c r="J36" s="803"/>
      <c r="K36" s="804"/>
      <c r="L36" s="420"/>
      <c r="M36" s="420"/>
      <c r="N36" s="420"/>
      <c r="O36" s="796"/>
      <c r="P36" s="420"/>
      <c r="Q36" s="420"/>
      <c r="R36" s="420"/>
      <c r="S36" s="420"/>
      <c r="T36" s="420"/>
      <c r="U36" s="420"/>
      <c r="V36" s="762">
        <f t="shared" si="5"/>
        <v>0</v>
      </c>
      <c r="W36" s="762"/>
      <c r="X36" s="764"/>
      <c r="Y36" s="764"/>
    </row>
    <row r="37" spans="1:25" ht="24" x14ac:dyDescent="0.55000000000000004">
      <c r="A37" s="357"/>
      <c r="B37" s="815"/>
      <c r="C37" s="816"/>
      <c r="D37" s="817"/>
      <c r="E37" s="785" t="s">
        <v>490</v>
      </c>
      <c r="F37" s="818">
        <v>1296156.01</v>
      </c>
      <c r="G37" s="819">
        <v>123574.8</v>
      </c>
      <c r="H37" s="819">
        <v>1999150</v>
      </c>
      <c r="I37" s="819">
        <v>1016500</v>
      </c>
      <c r="J37" s="794">
        <v>66215.199999999997</v>
      </c>
      <c r="K37" s="795">
        <v>67634.600000000006</v>
      </c>
      <c r="L37" s="420">
        <v>67222.600000000006</v>
      </c>
      <c r="M37" s="420">
        <v>112452.6</v>
      </c>
      <c r="N37" s="420">
        <f>23125+95760.6</f>
        <v>118885.6</v>
      </c>
      <c r="O37" s="796">
        <v>98071.6</v>
      </c>
      <c r="P37" s="420">
        <v>175261.6</v>
      </c>
      <c r="Q37" s="420">
        <v>171945.4</v>
      </c>
      <c r="R37" s="420">
        <v>180467.4</v>
      </c>
      <c r="S37" s="420">
        <v>177257</v>
      </c>
      <c r="T37" s="420">
        <v>127217</v>
      </c>
      <c r="U37" s="420">
        <v>155014</v>
      </c>
      <c r="V37" s="762">
        <f t="shared" si="5"/>
        <v>1517644.5999999999</v>
      </c>
      <c r="W37" s="762">
        <f>(V37*100)/I37</f>
        <v>149.30099360550909</v>
      </c>
      <c r="X37" s="813">
        <v>3600000</v>
      </c>
      <c r="Y37" s="775">
        <v>3650000</v>
      </c>
    </row>
    <row r="38" spans="1:25" ht="24" x14ac:dyDescent="0.55000000000000004">
      <c r="A38" s="357"/>
      <c r="B38" s="815"/>
      <c r="C38" s="822" t="s">
        <v>491</v>
      </c>
      <c r="D38" s="758"/>
      <c r="E38" s="790"/>
      <c r="F38" s="764"/>
      <c r="G38" s="764"/>
      <c r="H38" s="764"/>
      <c r="I38" s="764"/>
      <c r="J38" s="803"/>
      <c r="K38" s="804"/>
      <c r="L38" s="420"/>
      <c r="M38" s="420"/>
      <c r="N38" s="420"/>
      <c r="O38" s="796"/>
      <c r="P38" s="420"/>
      <c r="Q38" s="420"/>
      <c r="R38" s="420"/>
      <c r="S38" s="420"/>
      <c r="T38" s="420"/>
      <c r="U38" s="420"/>
      <c r="V38" s="762">
        <f t="shared" si="5"/>
        <v>0</v>
      </c>
      <c r="W38" s="762"/>
      <c r="X38" s="764"/>
      <c r="Y38" s="764"/>
    </row>
    <row r="39" spans="1:25" ht="24" x14ac:dyDescent="0.55000000000000004">
      <c r="A39" s="357"/>
      <c r="B39" s="815"/>
      <c r="C39" s="805"/>
      <c r="D39" s="823"/>
      <c r="E39" s="824" t="s">
        <v>492</v>
      </c>
      <c r="F39" s="776">
        <v>17234282.629999999</v>
      </c>
      <c r="G39" s="777">
        <v>15175748.15</v>
      </c>
      <c r="H39" s="777">
        <v>22583527.039999999</v>
      </c>
      <c r="I39" s="777">
        <v>24729001.640000001</v>
      </c>
      <c r="J39" s="794">
        <v>1868142.1</v>
      </c>
      <c r="K39" s="795">
        <v>1701514.5</v>
      </c>
      <c r="L39" s="420">
        <v>940847.23</v>
      </c>
      <c r="M39" s="420">
        <v>613104.85</v>
      </c>
      <c r="N39" s="420">
        <v>1212742.54</v>
      </c>
      <c r="O39" s="798">
        <v>2650253.77</v>
      </c>
      <c r="P39" s="825">
        <v>1747766.22</v>
      </c>
      <c r="Q39" s="420">
        <v>2019505.37</v>
      </c>
      <c r="R39" s="420">
        <v>474157.04</v>
      </c>
      <c r="S39" s="420">
        <v>3173663.62</v>
      </c>
      <c r="T39" s="420">
        <v>2554530.17</v>
      </c>
      <c r="U39" s="420">
        <v>3221585.75</v>
      </c>
      <c r="V39" s="762">
        <f t="shared" si="5"/>
        <v>22177813.160000004</v>
      </c>
      <c r="W39" s="762">
        <f>(V39*100)/I39</f>
        <v>89.68341497509806</v>
      </c>
      <c r="X39" s="813">
        <v>25000000</v>
      </c>
      <c r="Y39" s="784">
        <v>26000000</v>
      </c>
    </row>
    <row r="40" spans="1:25" ht="24" x14ac:dyDescent="0.55000000000000004">
      <c r="A40" s="357"/>
      <c r="B40" s="815"/>
      <c r="C40" s="805"/>
      <c r="D40" s="758"/>
      <c r="E40" s="790" t="s">
        <v>493</v>
      </c>
      <c r="F40" s="788"/>
      <c r="G40" s="789"/>
      <c r="H40" s="789"/>
      <c r="I40" s="789"/>
      <c r="J40" s="803"/>
      <c r="K40" s="804"/>
      <c r="L40" s="420"/>
      <c r="M40" s="420"/>
      <c r="N40" s="420"/>
      <c r="O40" s="796"/>
      <c r="P40" s="796"/>
      <c r="Q40" s="420"/>
      <c r="R40" s="420"/>
      <c r="S40" s="420"/>
      <c r="T40" s="420"/>
      <c r="U40" s="420"/>
      <c r="V40" s="762">
        <f t="shared" si="5"/>
        <v>0</v>
      </c>
      <c r="W40" s="762"/>
      <c r="X40" s="764"/>
      <c r="Y40" s="764"/>
    </row>
    <row r="41" spans="1:25" ht="24" x14ac:dyDescent="0.55000000000000004">
      <c r="A41" s="357"/>
      <c r="B41" s="815"/>
      <c r="C41" s="805"/>
      <c r="D41" s="817"/>
      <c r="E41" s="785" t="s">
        <v>494</v>
      </c>
      <c r="F41" s="776">
        <v>6982153.7599999998</v>
      </c>
      <c r="G41" s="777">
        <v>7242505.54</v>
      </c>
      <c r="H41" s="777">
        <v>11214756.57</v>
      </c>
      <c r="I41" s="777">
        <v>8060755.2000000002</v>
      </c>
      <c r="J41" s="794">
        <v>1469787.9</v>
      </c>
      <c r="K41" s="795">
        <v>720888.92</v>
      </c>
      <c r="L41" s="420">
        <v>598752.92000000004</v>
      </c>
      <c r="M41" s="420">
        <v>628237.18000000005</v>
      </c>
      <c r="N41" s="420">
        <v>276147.26</v>
      </c>
      <c r="O41" s="798">
        <v>623191.86</v>
      </c>
      <c r="P41" s="798">
        <v>675507.7</v>
      </c>
      <c r="Q41" s="420">
        <v>535325.30000000005</v>
      </c>
      <c r="R41" s="420">
        <v>301747.25</v>
      </c>
      <c r="S41" s="420">
        <v>753312.62</v>
      </c>
      <c r="T41" s="420">
        <v>804505.89</v>
      </c>
      <c r="U41" s="420">
        <v>1609650.03</v>
      </c>
      <c r="V41" s="762">
        <f t="shared" si="5"/>
        <v>8997054.8300000001</v>
      </c>
      <c r="W41" s="762">
        <f t="shared" ref="W41:W42" si="7">(V41*100)/I41</f>
        <v>111.61553237592427</v>
      </c>
      <c r="X41" s="813">
        <v>8800000</v>
      </c>
      <c r="Y41" s="775">
        <v>9600000</v>
      </c>
    </row>
    <row r="42" spans="1:25" ht="24" x14ac:dyDescent="0.55000000000000004">
      <c r="A42" s="357"/>
      <c r="B42" s="815"/>
      <c r="C42" s="805"/>
      <c r="D42" s="817"/>
      <c r="E42" s="785" t="s">
        <v>495</v>
      </c>
      <c r="F42" s="776">
        <v>4318510.24</v>
      </c>
      <c r="G42" s="777">
        <v>5989881.2599999998</v>
      </c>
      <c r="H42" s="777">
        <v>9287283.6999999993</v>
      </c>
      <c r="I42" s="777">
        <v>4259120.58</v>
      </c>
      <c r="J42" s="794">
        <v>2289036</v>
      </c>
      <c r="K42" s="795">
        <v>1255283</v>
      </c>
      <c r="L42" s="826">
        <v>8618.69</v>
      </c>
      <c r="M42" s="826">
        <v>347510.6</v>
      </c>
      <c r="N42" s="826">
        <v>764586.92</v>
      </c>
      <c r="O42" s="798">
        <v>909224.34</v>
      </c>
      <c r="P42" s="798">
        <v>970564.24</v>
      </c>
      <c r="Q42" s="826">
        <v>1059024.2</v>
      </c>
      <c r="R42" s="826">
        <v>751589.54</v>
      </c>
      <c r="S42" s="826">
        <v>185721.12</v>
      </c>
      <c r="T42" s="826">
        <v>590360.56000000006</v>
      </c>
      <c r="U42" s="826">
        <v>455750.47</v>
      </c>
      <c r="V42" s="762">
        <f t="shared" si="5"/>
        <v>9587269.6800000016</v>
      </c>
      <c r="W42" s="762">
        <f t="shared" si="7"/>
        <v>225.09974770425498</v>
      </c>
      <c r="X42" s="814">
        <v>3600000</v>
      </c>
      <c r="Y42" s="784">
        <v>4000000</v>
      </c>
    </row>
    <row r="43" spans="1:25" ht="24" x14ac:dyDescent="0.55000000000000004">
      <c r="A43" s="357"/>
      <c r="B43" s="815"/>
      <c r="C43" s="805"/>
      <c r="D43" s="817"/>
      <c r="E43" s="785" t="s">
        <v>496</v>
      </c>
      <c r="F43" s="788"/>
      <c r="G43" s="789"/>
      <c r="H43" s="789"/>
      <c r="I43" s="789"/>
      <c r="J43" s="794" t="s">
        <v>217</v>
      </c>
      <c r="K43" s="795" t="s">
        <v>217</v>
      </c>
      <c r="L43" s="420"/>
      <c r="M43" s="420"/>
      <c r="N43" s="420"/>
      <c r="O43" s="796"/>
      <c r="P43" s="796"/>
      <c r="Q43" s="420"/>
      <c r="R43" s="420"/>
      <c r="S43" s="420"/>
      <c r="T43" s="420"/>
      <c r="U43" s="420"/>
      <c r="V43" s="762">
        <f t="shared" si="5"/>
        <v>0</v>
      </c>
      <c r="W43" s="762"/>
      <c r="X43" s="356"/>
      <c r="Y43" s="764"/>
    </row>
    <row r="44" spans="1:25" ht="24" x14ac:dyDescent="0.55000000000000004">
      <c r="A44" s="357"/>
      <c r="B44" s="815"/>
      <c r="C44" s="805"/>
      <c r="D44" s="817"/>
      <c r="E44" s="785" t="s">
        <v>497</v>
      </c>
      <c r="F44" s="776">
        <v>1287405.05</v>
      </c>
      <c r="G44" s="777">
        <v>935583.98</v>
      </c>
      <c r="H44" s="777">
        <v>562495.67000000004</v>
      </c>
      <c r="I44" s="777">
        <v>1455908</v>
      </c>
      <c r="J44" s="794">
        <v>164539.78</v>
      </c>
      <c r="K44" s="795">
        <v>62157.03</v>
      </c>
      <c r="L44" s="419">
        <v>0</v>
      </c>
      <c r="M44" s="420">
        <v>32275.51</v>
      </c>
      <c r="N44" s="419">
        <v>13943.46</v>
      </c>
      <c r="O44" s="827">
        <v>149662.09</v>
      </c>
      <c r="P44" s="827">
        <v>47323.56</v>
      </c>
      <c r="Q44" s="419">
        <v>118739.82</v>
      </c>
      <c r="R44" s="419">
        <v>147122.04999999999</v>
      </c>
      <c r="S44" s="419">
        <v>29382.799999999999</v>
      </c>
      <c r="T44" s="419">
        <v>103320.28</v>
      </c>
      <c r="U44" s="419">
        <v>339270.34</v>
      </c>
      <c r="V44" s="762">
        <f t="shared" si="5"/>
        <v>1207736.7200000002</v>
      </c>
      <c r="W44" s="762">
        <f>(V44*100)/I44</f>
        <v>82.954192160493662</v>
      </c>
      <c r="X44" s="813">
        <v>1600000</v>
      </c>
      <c r="Y44" s="775">
        <v>1600000</v>
      </c>
    </row>
    <row r="45" spans="1:25" ht="24" x14ac:dyDescent="0.55000000000000004">
      <c r="A45" s="357"/>
      <c r="B45" s="815"/>
      <c r="C45" s="805"/>
      <c r="D45" s="817"/>
      <c r="E45" s="785" t="s">
        <v>498</v>
      </c>
      <c r="F45" s="828"/>
      <c r="G45" s="829"/>
      <c r="H45" s="829"/>
      <c r="I45" s="829"/>
      <c r="J45" s="794" t="s">
        <v>217</v>
      </c>
      <c r="K45" s="795" t="s">
        <v>217</v>
      </c>
      <c r="L45" s="419"/>
      <c r="M45" s="420"/>
      <c r="N45" s="419"/>
      <c r="O45" s="796"/>
      <c r="P45" s="796"/>
      <c r="Q45" s="419"/>
      <c r="R45" s="419"/>
      <c r="S45" s="419"/>
      <c r="T45" s="419"/>
      <c r="U45" s="419"/>
      <c r="V45" s="762">
        <f t="shared" si="5"/>
        <v>0</v>
      </c>
      <c r="W45" s="762"/>
      <c r="X45" s="356"/>
      <c r="Y45" s="356"/>
    </row>
    <row r="46" spans="1:25" ht="24" x14ac:dyDescent="0.55000000000000004">
      <c r="A46" s="357"/>
      <c r="B46" s="815"/>
      <c r="C46" s="805"/>
      <c r="D46" s="758"/>
      <c r="E46" s="790" t="s">
        <v>499</v>
      </c>
      <c r="F46" s="776">
        <v>6431864.0199999996</v>
      </c>
      <c r="G46" s="777">
        <v>7262437.2400000002</v>
      </c>
      <c r="H46" s="777">
        <v>10959983.640000001</v>
      </c>
      <c r="I46" s="777">
        <v>6510000</v>
      </c>
      <c r="J46" s="794">
        <v>530469</v>
      </c>
      <c r="K46" s="795">
        <v>779423.95</v>
      </c>
      <c r="L46" s="420">
        <v>754077.59</v>
      </c>
      <c r="M46" s="420">
        <v>733593.04</v>
      </c>
      <c r="N46" s="419">
        <v>965805.33</v>
      </c>
      <c r="O46" s="827">
        <v>464340.21</v>
      </c>
      <c r="P46" s="827">
        <v>1529986.8</v>
      </c>
      <c r="Q46" s="419">
        <v>811443.75</v>
      </c>
      <c r="R46" s="419">
        <v>1433947.83</v>
      </c>
      <c r="S46" s="419">
        <v>2274540.79</v>
      </c>
      <c r="T46" s="419">
        <v>768304.27</v>
      </c>
      <c r="U46" s="419">
        <v>1076848.21</v>
      </c>
      <c r="V46" s="762">
        <f t="shared" si="5"/>
        <v>12122780.77</v>
      </c>
      <c r="W46" s="762">
        <f t="shared" ref="W46:W48" si="8">(V46*100)/I46</f>
        <v>186.21783056835636</v>
      </c>
      <c r="X46" s="813">
        <v>6000000</v>
      </c>
      <c r="Y46" s="775">
        <v>6300000</v>
      </c>
    </row>
    <row r="47" spans="1:25" ht="24" x14ac:dyDescent="0.55000000000000004">
      <c r="A47" s="357"/>
      <c r="B47" s="815"/>
      <c r="C47" s="805"/>
      <c r="D47" s="758"/>
      <c r="E47" s="790" t="s">
        <v>500</v>
      </c>
      <c r="F47" s="776">
        <v>3000655.85</v>
      </c>
      <c r="G47" s="777">
        <v>3571816.32</v>
      </c>
      <c r="H47" s="777">
        <v>3951228.26</v>
      </c>
      <c r="I47" s="777">
        <v>6407200</v>
      </c>
      <c r="J47" s="794">
        <v>530111.53</v>
      </c>
      <c r="K47" s="795">
        <v>455631.83</v>
      </c>
      <c r="L47" s="420">
        <v>386567.94</v>
      </c>
      <c r="M47" s="420">
        <v>507043.51</v>
      </c>
      <c r="N47" s="419">
        <v>608999.25</v>
      </c>
      <c r="O47" s="827">
        <v>429888.43</v>
      </c>
      <c r="P47" s="827">
        <v>517718.22</v>
      </c>
      <c r="Q47" s="419">
        <v>614683.66</v>
      </c>
      <c r="R47" s="419">
        <v>579375.14</v>
      </c>
      <c r="S47" s="419">
        <v>561150.34</v>
      </c>
      <c r="T47" s="419">
        <v>562923.88</v>
      </c>
      <c r="U47" s="419">
        <v>23834.86</v>
      </c>
      <c r="V47" s="762">
        <f t="shared" si="5"/>
        <v>5777928.5899999999</v>
      </c>
      <c r="W47" s="762">
        <f t="shared" si="8"/>
        <v>90.178683200149834</v>
      </c>
      <c r="X47" s="814">
        <v>5000000</v>
      </c>
      <c r="Y47" s="784">
        <v>5000000</v>
      </c>
    </row>
    <row r="48" spans="1:25" ht="24" x14ac:dyDescent="0.55000000000000004">
      <c r="A48" s="357"/>
      <c r="B48" s="815"/>
      <c r="C48" s="805"/>
      <c r="D48" s="758"/>
      <c r="E48" s="790" t="s">
        <v>501</v>
      </c>
      <c r="F48" s="776">
        <v>13818999.74</v>
      </c>
      <c r="G48" s="777">
        <v>15917761.539999999</v>
      </c>
      <c r="H48" s="777">
        <v>14671772.789999999</v>
      </c>
      <c r="I48" s="777">
        <v>16000000</v>
      </c>
      <c r="J48" s="794">
        <f>3037710.19-J37</f>
        <v>2971494.9899999998</v>
      </c>
      <c r="K48" s="795">
        <f>725400.88-K37</f>
        <v>657766.28</v>
      </c>
      <c r="L48" s="420">
        <f>1939740.47-L37</f>
        <v>1872517.8699999999</v>
      </c>
      <c r="M48" s="420">
        <f>280550-M37</f>
        <v>168097.4</v>
      </c>
      <c r="N48" s="420">
        <f>4092437.37-N37+23125</f>
        <v>3996676.77</v>
      </c>
      <c r="O48" s="798">
        <f>794214.84-O37</f>
        <v>696143.24</v>
      </c>
      <c r="P48" s="798">
        <v>2315416.5699999998</v>
      </c>
      <c r="Q48" s="420">
        <v>3560741.61</v>
      </c>
      <c r="R48" s="420">
        <v>4238571.57</v>
      </c>
      <c r="S48" s="420">
        <v>2608458.7599999998</v>
      </c>
      <c r="T48" s="420">
        <v>868352.63</v>
      </c>
      <c r="U48" s="420">
        <v>2933440.89</v>
      </c>
      <c r="V48" s="762">
        <f t="shared" si="5"/>
        <v>26887678.580000002</v>
      </c>
      <c r="W48" s="762">
        <f t="shared" si="8"/>
        <v>168.04799112500001</v>
      </c>
      <c r="X48" s="814">
        <v>18000000</v>
      </c>
      <c r="Y48" s="784">
        <v>18000000</v>
      </c>
    </row>
    <row r="49" spans="1:25" ht="24" x14ac:dyDescent="0.55000000000000004">
      <c r="A49" s="357"/>
      <c r="B49" s="815"/>
      <c r="C49" s="805"/>
      <c r="D49" s="758"/>
      <c r="E49" s="790" t="s">
        <v>502</v>
      </c>
      <c r="F49" s="788">
        <v>31283548.850000001</v>
      </c>
      <c r="G49" s="789">
        <v>24115860.559999999</v>
      </c>
      <c r="H49" s="789">
        <v>35047549.07</v>
      </c>
      <c r="I49" s="789">
        <v>6435467</v>
      </c>
      <c r="J49" s="803"/>
      <c r="K49" s="804"/>
      <c r="L49" s="420">
        <f>1078972.9-L59</f>
        <v>228972.89999999991</v>
      </c>
      <c r="M49" s="420">
        <f>5216167.71-M59</f>
        <v>3995953.71</v>
      </c>
      <c r="N49" s="420">
        <v>869332.49</v>
      </c>
      <c r="O49" s="796">
        <v>588929.21</v>
      </c>
      <c r="P49" s="830">
        <v>275990.46999999997</v>
      </c>
      <c r="Q49" s="420">
        <v>276289.34999999998</v>
      </c>
      <c r="R49" s="420">
        <v>219443.77</v>
      </c>
      <c r="S49" s="420">
        <v>267002.90999999997</v>
      </c>
      <c r="T49" s="420">
        <v>845656.29</v>
      </c>
      <c r="U49" s="420">
        <v>2390298.09</v>
      </c>
      <c r="V49" s="762">
        <f t="shared" si="5"/>
        <v>9957869.1899999976</v>
      </c>
      <c r="W49" s="762"/>
      <c r="X49" s="764"/>
      <c r="Y49" s="764"/>
    </row>
    <row r="50" spans="1:25" ht="24" x14ac:dyDescent="0.55000000000000004">
      <c r="A50" s="831" t="s">
        <v>476</v>
      </c>
      <c r="B50" s="832"/>
      <c r="C50" s="833" t="s">
        <v>503</v>
      </c>
      <c r="D50" s="834"/>
      <c r="E50" s="834"/>
      <c r="F50" s="835"/>
      <c r="G50" s="836"/>
      <c r="H50" s="836"/>
      <c r="I50" s="836"/>
      <c r="J50" s="837"/>
      <c r="K50" s="838"/>
      <c r="L50" s="839"/>
      <c r="M50" s="839"/>
      <c r="N50" s="839"/>
      <c r="O50" s="840"/>
      <c r="P50" s="840"/>
      <c r="Q50" s="839"/>
      <c r="R50" s="839"/>
      <c r="S50" s="839"/>
      <c r="T50" s="839"/>
      <c r="U50" s="839"/>
      <c r="V50" s="841">
        <f t="shared" si="5"/>
        <v>0</v>
      </c>
      <c r="W50" s="841"/>
      <c r="X50" s="842"/>
      <c r="Y50" s="842"/>
    </row>
    <row r="51" spans="1:25" ht="24" x14ac:dyDescent="0.55000000000000004">
      <c r="A51" s="357"/>
      <c r="B51" s="815"/>
      <c r="C51" s="357"/>
      <c r="D51" s="817" t="s">
        <v>504</v>
      </c>
      <c r="E51" s="817"/>
      <c r="F51" s="776">
        <v>4523877.0199999996</v>
      </c>
      <c r="G51" s="777">
        <v>1279185.0900000001</v>
      </c>
      <c r="H51" s="777">
        <v>3861647</v>
      </c>
      <c r="I51" s="789">
        <v>9031606.2300000004</v>
      </c>
      <c r="J51" s="843" t="s">
        <v>217</v>
      </c>
      <c r="K51" s="844" t="s">
        <v>217</v>
      </c>
      <c r="L51" s="845"/>
      <c r="M51" s="845"/>
      <c r="N51" s="845"/>
      <c r="O51" s="846"/>
      <c r="P51" s="846"/>
      <c r="Q51" s="845"/>
      <c r="R51" s="845">
        <v>154542.06</v>
      </c>
      <c r="S51" s="845">
        <v>1302611.2</v>
      </c>
      <c r="T51" s="845"/>
      <c r="U51" s="845">
        <v>174157</v>
      </c>
      <c r="V51" s="762">
        <f t="shared" si="5"/>
        <v>1631310.26</v>
      </c>
      <c r="W51" s="762">
        <f>(V51*100)/I51</f>
        <v>18.062238526092163</v>
      </c>
      <c r="X51" s="764">
        <v>2800000</v>
      </c>
      <c r="Y51" s="764">
        <v>3000000</v>
      </c>
    </row>
    <row r="52" spans="1:25" ht="24" x14ac:dyDescent="0.55000000000000004">
      <c r="A52" s="357"/>
      <c r="B52" s="815"/>
      <c r="C52" s="357"/>
      <c r="D52" s="817" t="s">
        <v>505</v>
      </c>
      <c r="E52" s="817"/>
      <c r="F52" s="788"/>
      <c r="G52" s="777">
        <v>340000</v>
      </c>
      <c r="H52" s="777">
        <v>73470</v>
      </c>
      <c r="I52" s="789"/>
      <c r="J52" s="794" t="s">
        <v>217</v>
      </c>
      <c r="K52" s="795" t="s">
        <v>217</v>
      </c>
      <c r="L52" s="420"/>
      <c r="M52" s="420"/>
      <c r="N52" s="420"/>
      <c r="O52" s="798">
        <v>450747.66</v>
      </c>
      <c r="P52" s="796"/>
      <c r="Q52" s="420"/>
      <c r="R52" s="420"/>
      <c r="S52" s="420"/>
      <c r="T52" s="420"/>
      <c r="U52" s="420"/>
      <c r="V52" s="762">
        <f t="shared" si="5"/>
        <v>450747.66</v>
      </c>
      <c r="W52" s="762"/>
      <c r="X52" s="764"/>
      <c r="Y52" s="764"/>
    </row>
    <row r="53" spans="1:25" ht="24" x14ac:dyDescent="0.55000000000000004">
      <c r="A53" s="357"/>
      <c r="B53" s="815"/>
      <c r="C53" s="357"/>
      <c r="D53" s="817" t="s">
        <v>704</v>
      </c>
      <c r="E53" s="817"/>
      <c r="F53" s="776">
        <v>473398.98</v>
      </c>
      <c r="G53" s="777">
        <v>3774688.91</v>
      </c>
      <c r="H53" s="777">
        <v>1415309.5</v>
      </c>
      <c r="I53" s="777">
        <f>9426193.77+448493.77+10000</f>
        <v>9884687.5399999991</v>
      </c>
      <c r="J53" s="794">
        <v>244640</v>
      </c>
      <c r="K53" s="795">
        <v>492900</v>
      </c>
      <c r="L53" s="420">
        <v>913977.56</v>
      </c>
      <c r="M53" s="420">
        <v>1672512.38</v>
      </c>
      <c r="N53" s="420">
        <v>2713979.41</v>
      </c>
      <c r="O53" s="798">
        <v>2629627.19</v>
      </c>
      <c r="P53" s="798">
        <v>711973.28</v>
      </c>
      <c r="Q53" s="420">
        <v>1469537.05</v>
      </c>
      <c r="R53" s="420">
        <v>1744346.33</v>
      </c>
      <c r="S53" s="420">
        <v>547078.87</v>
      </c>
      <c r="T53" s="420">
        <v>597612.14</v>
      </c>
      <c r="U53" s="420">
        <v>668149.92000000004</v>
      </c>
      <c r="V53" s="762">
        <f t="shared" si="5"/>
        <v>14406334.129999999</v>
      </c>
      <c r="W53" s="762">
        <f>(V53*100)/I53</f>
        <v>145.74395064793319</v>
      </c>
      <c r="X53" s="764">
        <v>8900000</v>
      </c>
      <c r="Y53" s="764">
        <v>6000000</v>
      </c>
    </row>
    <row r="54" spans="1:25" ht="24" x14ac:dyDescent="0.55000000000000004">
      <c r="A54" s="831" t="s">
        <v>476</v>
      </c>
      <c r="B54" s="832"/>
      <c r="C54" s="833" t="s">
        <v>506</v>
      </c>
      <c r="D54" s="834"/>
      <c r="E54" s="834"/>
      <c r="F54" s="835"/>
      <c r="G54" s="836"/>
      <c r="H54" s="836"/>
      <c r="I54" s="836"/>
      <c r="J54" s="837"/>
      <c r="K54" s="838"/>
      <c r="L54" s="839"/>
      <c r="M54" s="839"/>
      <c r="N54" s="839"/>
      <c r="O54" s="840"/>
      <c r="P54" s="839"/>
      <c r="Q54" s="839"/>
      <c r="R54" s="839"/>
      <c r="S54" s="839"/>
      <c r="T54" s="839"/>
      <c r="U54" s="839"/>
      <c r="V54" s="841">
        <f t="shared" si="5"/>
        <v>0</v>
      </c>
      <c r="W54" s="841"/>
      <c r="X54" s="842"/>
      <c r="Y54" s="842"/>
    </row>
    <row r="55" spans="1:25" ht="24" x14ac:dyDescent="0.55000000000000004">
      <c r="A55" s="357"/>
      <c r="B55" s="815"/>
      <c r="C55" s="805"/>
      <c r="D55" s="816" t="s">
        <v>507</v>
      </c>
      <c r="E55" s="817"/>
      <c r="F55" s="788"/>
      <c r="G55" s="777">
        <v>2650000</v>
      </c>
      <c r="H55" s="789"/>
      <c r="I55" s="789">
        <v>3765235.36</v>
      </c>
      <c r="J55" s="847" t="s">
        <v>217</v>
      </c>
      <c r="K55" s="848" t="s">
        <v>217</v>
      </c>
      <c r="L55" s="420">
        <v>835560</v>
      </c>
      <c r="M55" s="419"/>
      <c r="N55" s="419"/>
      <c r="O55" s="796"/>
      <c r="P55" s="419"/>
      <c r="Q55" s="419"/>
      <c r="R55" s="419"/>
      <c r="S55" s="419"/>
      <c r="T55" s="419"/>
      <c r="U55" s="419"/>
      <c r="V55" s="762">
        <f t="shared" si="5"/>
        <v>835560</v>
      </c>
      <c r="W55" s="762"/>
      <c r="X55" s="764">
        <v>500000</v>
      </c>
      <c r="Y55" s="764">
        <v>500000</v>
      </c>
    </row>
    <row r="56" spans="1:25" ht="24" x14ac:dyDescent="0.55000000000000004">
      <c r="A56" s="357"/>
      <c r="B56" s="815"/>
      <c r="C56" s="805"/>
      <c r="D56" s="816" t="s">
        <v>508</v>
      </c>
      <c r="E56" s="817"/>
      <c r="F56" s="788"/>
      <c r="G56" s="789"/>
      <c r="H56" s="777">
        <v>720000</v>
      </c>
      <c r="I56" s="789"/>
      <c r="J56" s="849" t="s">
        <v>217</v>
      </c>
      <c r="K56" s="850" t="s">
        <v>217</v>
      </c>
      <c r="L56" s="851"/>
      <c r="M56" s="851"/>
      <c r="N56" s="851"/>
      <c r="O56" s="796"/>
      <c r="P56" s="851"/>
      <c r="Q56" s="851"/>
      <c r="R56" s="851"/>
      <c r="S56" s="851"/>
      <c r="T56" s="851"/>
      <c r="U56" s="851"/>
      <c r="V56" s="762">
        <f t="shared" si="5"/>
        <v>0</v>
      </c>
      <c r="W56" s="762"/>
      <c r="X56" s="764"/>
      <c r="Y56" s="764"/>
    </row>
    <row r="57" spans="1:25" ht="24" x14ac:dyDescent="0.55000000000000004">
      <c r="A57" s="357"/>
      <c r="B57" s="815"/>
      <c r="C57" s="805"/>
      <c r="D57" s="816" t="s">
        <v>509</v>
      </c>
      <c r="E57" s="817"/>
      <c r="F57" s="776">
        <v>8200750</v>
      </c>
      <c r="G57" s="777">
        <v>6757646</v>
      </c>
      <c r="H57" s="777">
        <v>4196800</v>
      </c>
      <c r="I57" s="777">
        <v>31589035.699999999</v>
      </c>
      <c r="J57" s="809">
        <v>97000</v>
      </c>
      <c r="K57" s="810">
        <v>680000</v>
      </c>
      <c r="L57" s="811">
        <v>2004222.42</v>
      </c>
      <c r="M57" s="811">
        <v>380411.21</v>
      </c>
      <c r="N57" s="811">
        <v>391308.41</v>
      </c>
      <c r="O57" s="787">
        <v>0</v>
      </c>
      <c r="P57" s="811">
        <v>610827.19999999995</v>
      </c>
      <c r="Q57" s="811">
        <v>579212.81000000006</v>
      </c>
      <c r="R57" s="811">
        <v>761704.49</v>
      </c>
      <c r="S57" s="811">
        <v>1020018.6</v>
      </c>
      <c r="T57" s="811">
        <v>844617.11</v>
      </c>
      <c r="U57" s="811">
        <v>361053</v>
      </c>
      <c r="V57" s="762">
        <f t="shared" si="5"/>
        <v>7730375.2500000009</v>
      </c>
      <c r="W57" s="762">
        <f t="shared" ref="W57:W58" si="9">(V57*100)/I57</f>
        <v>24.471703800695636</v>
      </c>
      <c r="X57" s="764">
        <f>17000000</f>
        <v>17000000</v>
      </c>
      <c r="Y57" s="764">
        <f>25000000</f>
        <v>25000000</v>
      </c>
    </row>
    <row r="58" spans="1:25" ht="27.75" x14ac:dyDescent="0.65">
      <c r="A58" s="357"/>
      <c r="B58" s="852"/>
      <c r="C58" s="805" t="s">
        <v>510</v>
      </c>
      <c r="D58" s="758"/>
      <c r="E58" s="758"/>
      <c r="F58" s="776"/>
      <c r="G58" s="777"/>
      <c r="H58" s="777"/>
      <c r="I58" s="853"/>
      <c r="J58" s="854"/>
      <c r="K58" s="854"/>
      <c r="L58" s="830"/>
      <c r="M58" s="830"/>
      <c r="N58" s="830"/>
      <c r="O58" s="855"/>
      <c r="P58" s="830"/>
      <c r="Q58" s="830"/>
      <c r="R58" s="830"/>
      <c r="S58" s="830"/>
      <c r="T58" s="830"/>
      <c r="U58" s="830"/>
      <c r="V58" s="762">
        <f t="shared" si="5"/>
        <v>0</v>
      </c>
      <c r="W58" s="762" t="e">
        <f t="shared" si="9"/>
        <v>#DIV/0!</v>
      </c>
      <c r="X58" s="856"/>
      <c r="Y58" s="764"/>
    </row>
    <row r="59" spans="1:25" ht="24" x14ac:dyDescent="0.55000000000000004">
      <c r="A59" s="857"/>
      <c r="B59" s="858"/>
      <c r="C59" s="859"/>
      <c r="D59" s="860" t="s">
        <v>705</v>
      </c>
      <c r="E59" s="861"/>
      <c r="F59" s="862">
        <v>7596989</v>
      </c>
      <c r="G59" s="863">
        <v>6664009</v>
      </c>
      <c r="H59" s="863">
        <v>10441733</v>
      </c>
      <c r="I59" s="863">
        <v>13105064</v>
      </c>
      <c r="J59" s="864"/>
      <c r="K59" s="865"/>
      <c r="L59" s="866">
        <v>850000</v>
      </c>
      <c r="M59" s="866">
        <v>1220214</v>
      </c>
      <c r="N59" s="866"/>
      <c r="O59" s="867">
        <v>9480773</v>
      </c>
      <c r="P59" s="866"/>
      <c r="Q59" s="866"/>
      <c r="R59" s="866">
        <v>15858328.08</v>
      </c>
      <c r="S59" s="866">
        <v>7038300</v>
      </c>
      <c r="T59" s="866">
        <v>8814638</v>
      </c>
      <c r="U59" s="866">
        <v>1171300</v>
      </c>
      <c r="V59" s="762">
        <f t="shared" si="5"/>
        <v>44433553.079999998</v>
      </c>
      <c r="W59" s="868"/>
      <c r="X59" s="869"/>
      <c r="Y59" s="869"/>
    </row>
    <row r="60" spans="1:25" ht="24" x14ac:dyDescent="0.55000000000000004">
      <c r="A60" s="857"/>
      <c r="B60" s="858"/>
      <c r="C60" s="859"/>
      <c r="D60" s="860" t="s">
        <v>706</v>
      </c>
      <c r="E60" s="861"/>
      <c r="F60" s="870"/>
      <c r="G60" s="871"/>
      <c r="H60" s="871"/>
      <c r="I60" s="871"/>
      <c r="J60" s="864"/>
      <c r="K60" s="865"/>
      <c r="L60" s="866"/>
      <c r="M60" s="866"/>
      <c r="N60" s="866"/>
      <c r="O60" s="872"/>
      <c r="P60" s="866"/>
      <c r="Q60" s="866"/>
      <c r="R60" s="866"/>
      <c r="S60" s="866"/>
      <c r="T60" s="866"/>
      <c r="U60" s="866"/>
      <c r="V60" s="868"/>
      <c r="W60" s="868"/>
      <c r="X60" s="869"/>
      <c r="Y60" s="869"/>
    </row>
    <row r="61" spans="1:25" ht="24" x14ac:dyDescent="0.55000000000000004">
      <c r="A61" s="357"/>
      <c r="B61" s="852"/>
      <c r="C61" s="816"/>
      <c r="D61" s="758"/>
      <c r="E61" s="817" t="s">
        <v>511</v>
      </c>
      <c r="F61" s="356"/>
      <c r="G61" s="356"/>
      <c r="H61" s="356"/>
      <c r="I61" s="356"/>
      <c r="J61" s="809"/>
      <c r="K61" s="810"/>
      <c r="L61" s="811"/>
      <c r="M61" s="811"/>
      <c r="N61" s="811"/>
      <c r="O61" s="782"/>
      <c r="P61" s="811"/>
      <c r="Q61" s="811"/>
      <c r="R61" s="811"/>
      <c r="S61" s="811"/>
      <c r="T61" s="811"/>
      <c r="U61" s="811"/>
      <c r="V61" s="762">
        <f t="shared" ref="V61:V67" si="10">SUM(J61:U61)</f>
        <v>0</v>
      </c>
      <c r="W61" s="762"/>
      <c r="X61" s="356"/>
      <c r="Y61" s="356"/>
    </row>
    <row r="62" spans="1:25" ht="24" x14ac:dyDescent="0.55000000000000004">
      <c r="A62" s="357" t="s">
        <v>476</v>
      </c>
      <c r="B62" s="852"/>
      <c r="C62" s="758"/>
      <c r="D62" s="758"/>
      <c r="E62" s="873" t="s">
        <v>512</v>
      </c>
      <c r="F62" s="764">
        <f t="shared" ref="F62:U62" si="11">SUM(F27:F61)</f>
        <v>146618983.30999997</v>
      </c>
      <c r="G62" s="764">
        <f t="shared" si="11"/>
        <v>138796747.75999999</v>
      </c>
      <c r="H62" s="764">
        <f t="shared" si="11"/>
        <v>171975383.03</v>
      </c>
      <c r="I62" s="764">
        <f t="shared" si="11"/>
        <v>182869611.75999999</v>
      </c>
      <c r="J62" s="764">
        <f t="shared" si="11"/>
        <v>14127647.699999999</v>
      </c>
      <c r="K62" s="764">
        <f t="shared" si="11"/>
        <v>9857214.8599999994</v>
      </c>
      <c r="L62" s="764">
        <f t="shared" si="11"/>
        <v>12814813.040000001</v>
      </c>
      <c r="M62" s="764">
        <f t="shared" si="11"/>
        <v>14182334.579999998</v>
      </c>
      <c r="N62" s="764">
        <f t="shared" si="11"/>
        <v>14910344.020000001</v>
      </c>
      <c r="O62" s="764">
        <f t="shared" si="11"/>
        <v>22001061.729999997</v>
      </c>
      <c r="P62" s="764">
        <f t="shared" si="11"/>
        <v>12237844.659999998</v>
      </c>
      <c r="Q62" s="764">
        <f t="shared" si="11"/>
        <v>15606464.120000001</v>
      </c>
      <c r="R62" s="764">
        <f t="shared" si="11"/>
        <v>30956105.870000001</v>
      </c>
      <c r="S62" s="764">
        <f t="shared" si="11"/>
        <v>23992558.009999998</v>
      </c>
      <c r="T62" s="764">
        <f t="shared" si="11"/>
        <v>22001610.43</v>
      </c>
      <c r="U62" s="764">
        <f t="shared" si="11"/>
        <v>18776171.040000003</v>
      </c>
      <c r="V62" s="762">
        <f t="shared" si="10"/>
        <v>211464170.06</v>
      </c>
      <c r="W62" s="762">
        <f t="shared" ref="W62:W65" si="12">(V62*100)/I62</f>
        <v>115.63658282247999</v>
      </c>
      <c r="X62" s="764">
        <f t="shared" ref="X62:Y62" si="13">SUM(X27:X61)</f>
        <v>144258000</v>
      </c>
      <c r="Y62" s="764">
        <f t="shared" si="13"/>
        <v>152933000</v>
      </c>
    </row>
    <row r="63" spans="1:25" ht="24" x14ac:dyDescent="0.55000000000000004">
      <c r="A63" s="357"/>
      <c r="B63" s="817"/>
      <c r="C63" s="758"/>
      <c r="D63" s="758"/>
      <c r="E63" s="873" t="s">
        <v>513</v>
      </c>
      <c r="F63" s="764">
        <f t="shared" ref="F63:U63" si="14">F24-F62</f>
        <v>-4595143.719999969</v>
      </c>
      <c r="G63" s="764">
        <f t="shared" si="14"/>
        <v>3355876.0600000322</v>
      </c>
      <c r="H63" s="764">
        <f t="shared" si="14"/>
        <v>49496192.269999981</v>
      </c>
      <c r="I63" s="764">
        <f t="shared" si="14"/>
        <v>14820755.790000021</v>
      </c>
      <c r="J63" s="764">
        <f t="shared" si="14"/>
        <v>17316407.27</v>
      </c>
      <c r="K63" s="764">
        <f t="shared" si="14"/>
        <v>20264911.219999999</v>
      </c>
      <c r="L63" s="764">
        <f t="shared" si="14"/>
        <v>2457729.8900000006</v>
      </c>
      <c r="M63" s="764">
        <f t="shared" si="14"/>
        <v>25755190.04999999</v>
      </c>
      <c r="N63" s="764">
        <f t="shared" si="14"/>
        <v>-9163827.4900000021</v>
      </c>
      <c r="O63" s="874">
        <f t="shared" si="14"/>
        <v>-1017152.6299999952</v>
      </c>
      <c r="P63" s="874">
        <f t="shared" si="14"/>
        <v>-3412774.8099999968</v>
      </c>
      <c r="Q63" s="874">
        <f t="shared" si="14"/>
        <v>-7927235.0700000012</v>
      </c>
      <c r="R63" s="874">
        <f t="shared" si="14"/>
        <v>-21628055.25</v>
      </c>
      <c r="S63" s="874">
        <f t="shared" si="14"/>
        <v>-15028052.879999999</v>
      </c>
      <c r="T63" s="874">
        <f t="shared" si="14"/>
        <v>-12835959.109999999</v>
      </c>
      <c r="U63" s="874">
        <f t="shared" si="14"/>
        <v>1273757.6999999993</v>
      </c>
      <c r="V63" s="936">
        <f t="shared" si="10"/>
        <v>-3945061.1100000069</v>
      </c>
      <c r="W63" s="762">
        <f t="shared" si="12"/>
        <v>-26.618488057551357</v>
      </c>
      <c r="X63" s="764">
        <f t="shared" ref="X63:Y63" si="15">X24-X62</f>
        <v>30802000</v>
      </c>
      <c r="Y63" s="764">
        <f t="shared" si="15"/>
        <v>27637000</v>
      </c>
    </row>
    <row r="64" spans="1:25" ht="24" x14ac:dyDescent="0.55000000000000004">
      <c r="A64" s="875" t="s">
        <v>476</v>
      </c>
      <c r="B64" s="876"/>
      <c r="C64" s="876"/>
      <c r="D64" s="876"/>
      <c r="E64" s="877" t="s">
        <v>514</v>
      </c>
      <c r="F64" s="878">
        <v>27111069.739999998</v>
      </c>
      <c r="G64" s="879">
        <v>22515926.02</v>
      </c>
      <c r="H64" s="879">
        <v>25871802.079999998</v>
      </c>
      <c r="I64" s="879">
        <f>H65</f>
        <v>75367994.349999979</v>
      </c>
      <c r="J64" s="880">
        <v>75367994.349999994</v>
      </c>
      <c r="K64" s="881">
        <v>92684401.620000005</v>
      </c>
      <c r="L64" s="882">
        <v>112949312.84</v>
      </c>
      <c r="M64" s="882">
        <v>115407042.73</v>
      </c>
      <c r="N64" s="882">
        <v>141162232.78</v>
      </c>
      <c r="O64" s="883">
        <v>131998405.29000001</v>
      </c>
      <c r="P64" s="883">
        <v>130981252.66</v>
      </c>
      <c r="Q64" s="884">
        <v>127568477.84999999</v>
      </c>
      <c r="R64" s="882">
        <v>119641242.78</v>
      </c>
      <c r="S64" s="882">
        <v>98013187.530000001</v>
      </c>
      <c r="T64" s="882">
        <v>82985134.650000006</v>
      </c>
      <c r="U64" s="882">
        <v>70149175.540000007</v>
      </c>
      <c r="V64" s="933">
        <v>75367994.349999994</v>
      </c>
      <c r="W64" s="885">
        <f t="shared" si="12"/>
        <v>100.00000000000001</v>
      </c>
      <c r="X64" s="928">
        <f>I65</f>
        <v>90188750.140000001</v>
      </c>
      <c r="Y64" s="879">
        <f>X65</f>
        <v>120990750.14</v>
      </c>
    </row>
    <row r="65" spans="1:26" ht="24" x14ac:dyDescent="0.55000000000000004">
      <c r="A65" s="875"/>
      <c r="B65" s="876"/>
      <c r="C65" s="876"/>
      <c r="D65" s="876"/>
      <c r="E65" s="877" t="s">
        <v>515</v>
      </c>
      <c r="F65" s="887">
        <f t="shared" ref="F65:U65" si="16">+F63+F64</f>
        <v>22515926.020000029</v>
      </c>
      <c r="G65" s="888">
        <f t="shared" si="16"/>
        <v>25871802.080000032</v>
      </c>
      <c r="H65" s="888">
        <f t="shared" si="16"/>
        <v>75367994.349999979</v>
      </c>
      <c r="I65" s="927">
        <f t="shared" si="16"/>
        <v>90188750.140000001</v>
      </c>
      <c r="J65" s="888">
        <f t="shared" si="16"/>
        <v>92684401.61999999</v>
      </c>
      <c r="K65" s="888">
        <f t="shared" si="16"/>
        <v>112949312.84</v>
      </c>
      <c r="L65" s="888">
        <f t="shared" si="16"/>
        <v>115407042.73</v>
      </c>
      <c r="M65" s="888">
        <f t="shared" si="16"/>
        <v>141162232.78</v>
      </c>
      <c r="N65" s="888">
        <f t="shared" si="16"/>
        <v>131998405.28999999</v>
      </c>
      <c r="O65" s="889">
        <f t="shared" si="16"/>
        <v>130981252.66000001</v>
      </c>
      <c r="P65" s="889">
        <f t="shared" si="16"/>
        <v>127568477.84999999</v>
      </c>
      <c r="Q65" s="889">
        <f t="shared" si="16"/>
        <v>119641242.77999999</v>
      </c>
      <c r="R65" s="889">
        <f t="shared" si="16"/>
        <v>98013187.530000001</v>
      </c>
      <c r="S65" s="889">
        <f t="shared" si="16"/>
        <v>82985134.650000006</v>
      </c>
      <c r="T65" s="886">
        <f t="shared" si="16"/>
        <v>70149175.540000007</v>
      </c>
      <c r="U65" s="886">
        <f t="shared" si="16"/>
        <v>71422933.24000001</v>
      </c>
      <c r="V65" s="934">
        <v>71422933.239999995</v>
      </c>
      <c r="W65" s="890">
        <f t="shared" si="12"/>
        <v>79.192729835073848</v>
      </c>
      <c r="X65" s="888">
        <f t="shared" ref="X65:Y65" si="17">+X63+X64</f>
        <v>120990750.14</v>
      </c>
      <c r="Y65" s="888">
        <f t="shared" si="17"/>
        <v>148627750.13999999</v>
      </c>
      <c r="Z65" s="935">
        <f>SUM(V65-I65)</f>
        <v>-18765816.900000006</v>
      </c>
    </row>
    <row r="66" spans="1:26" ht="24" x14ac:dyDescent="0.55000000000000004">
      <c r="A66" s="357" t="s">
        <v>476</v>
      </c>
      <c r="B66" s="817"/>
      <c r="C66" s="817"/>
      <c r="D66" s="817"/>
      <c r="E66" s="873" t="s">
        <v>557</v>
      </c>
      <c r="F66" s="764"/>
      <c r="G66" s="764"/>
      <c r="H66" s="764"/>
      <c r="I66" s="764">
        <v>14815566</v>
      </c>
      <c r="J66" s="891"/>
      <c r="K66" s="892"/>
      <c r="L66" s="421"/>
      <c r="M66" s="893">
        <v>5178095.34</v>
      </c>
      <c r="N66" s="421">
        <v>4803506.58</v>
      </c>
      <c r="O66" s="894">
        <v>326433.94</v>
      </c>
      <c r="P66" s="782"/>
      <c r="Q66" s="421"/>
      <c r="R66" s="421"/>
      <c r="S66" s="421"/>
      <c r="T66" s="421"/>
      <c r="U66" s="421"/>
      <c r="V66" s="895">
        <f t="shared" si="10"/>
        <v>10308035.859999999</v>
      </c>
      <c r="W66" s="762"/>
      <c r="X66" s="764">
        <v>14815566</v>
      </c>
      <c r="Y66" s="764">
        <v>14815566</v>
      </c>
    </row>
    <row r="67" spans="1:26" ht="24" x14ac:dyDescent="0.55000000000000004">
      <c r="A67" s="357" t="s">
        <v>476</v>
      </c>
      <c r="B67" s="817"/>
      <c r="C67" s="817"/>
      <c r="D67" s="817"/>
      <c r="E67" s="873" t="s">
        <v>558</v>
      </c>
      <c r="F67" s="764">
        <v>26772000</v>
      </c>
      <c r="G67" s="764">
        <v>29000000</v>
      </c>
      <c r="H67" s="764">
        <v>23500000</v>
      </c>
      <c r="I67" s="764">
        <v>30000000</v>
      </c>
      <c r="J67" s="896">
        <v>24457860.579999998</v>
      </c>
      <c r="K67" s="897">
        <v>26827017.120000001</v>
      </c>
      <c r="L67" s="898">
        <v>24067533.07</v>
      </c>
      <c r="M67" s="898">
        <v>25238426.390000001</v>
      </c>
      <c r="N67" s="898">
        <v>29414052.5</v>
      </c>
      <c r="O67" s="798">
        <v>27500000</v>
      </c>
      <c r="P67" s="798">
        <v>56236585</v>
      </c>
      <c r="Q67" s="898">
        <v>55800000</v>
      </c>
      <c r="R67" s="898">
        <v>38000000</v>
      </c>
      <c r="S67" s="898">
        <v>38000000</v>
      </c>
      <c r="T67" s="898">
        <v>28000000</v>
      </c>
      <c r="U67" s="898">
        <v>24000000</v>
      </c>
      <c r="V67" s="762"/>
      <c r="W67" s="762">
        <f t="shared" ref="W67:W68" si="18">(V67*100)/I67</f>
        <v>0</v>
      </c>
      <c r="X67" s="764">
        <v>31000000</v>
      </c>
      <c r="Y67" s="764">
        <v>31000000</v>
      </c>
    </row>
    <row r="68" spans="1:26" ht="24" x14ac:dyDescent="0.55000000000000004">
      <c r="A68" s="357"/>
      <c r="B68" s="817"/>
      <c r="C68" s="817"/>
      <c r="D68" s="817"/>
      <c r="E68" s="873" t="s">
        <v>559</v>
      </c>
      <c r="F68" s="764">
        <f t="shared" ref="F68:V68" si="19">+F65-F66-F67</f>
        <v>-4256073.9799999706</v>
      </c>
      <c r="G68" s="764">
        <f t="shared" si="19"/>
        <v>-3128197.9199999683</v>
      </c>
      <c r="H68" s="764">
        <f t="shared" si="19"/>
        <v>51867994.349999979</v>
      </c>
      <c r="I68" s="764">
        <f t="shared" si="19"/>
        <v>45373184.140000001</v>
      </c>
      <c r="J68" s="764">
        <f t="shared" si="19"/>
        <v>68226541.039999992</v>
      </c>
      <c r="K68" s="764">
        <f t="shared" si="19"/>
        <v>86122295.719999999</v>
      </c>
      <c r="L68" s="764">
        <f t="shared" si="19"/>
        <v>91339509.659999996</v>
      </c>
      <c r="M68" s="764">
        <f t="shared" si="19"/>
        <v>110745711.05</v>
      </c>
      <c r="N68" s="764">
        <f t="shared" si="19"/>
        <v>97780846.209999993</v>
      </c>
      <c r="O68" s="776">
        <f t="shared" si="19"/>
        <v>103154818.72000001</v>
      </c>
      <c r="P68" s="776">
        <f t="shared" si="19"/>
        <v>71331892.849999994</v>
      </c>
      <c r="Q68" s="776">
        <f t="shared" si="19"/>
        <v>63841242.779999986</v>
      </c>
      <c r="R68" s="776">
        <f t="shared" si="19"/>
        <v>60013187.530000001</v>
      </c>
      <c r="S68" s="776">
        <f t="shared" si="19"/>
        <v>44985134.650000006</v>
      </c>
      <c r="T68" s="776">
        <f t="shared" si="19"/>
        <v>42149175.540000007</v>
      </c>
      <c r="U68" s="776">
        <f t="shared" si="19"/>
        <v>47422933.24000001</v>
      </c>
      <c r="V68" s="776"/>
      <c r="W68" s="762">
        <f t="shared" si="18"/>
        <v>0</v>
      </c>
      <c r="X68" s="764">
        <f t="shared" ref="X68:Y68" si="20">+X65-X66-X67</f>
        <v>75175184.140000001</v>
      </c>
      <c r="Y68" s="764">
        <f t="shared" si="20"/>
        <v>102812184.13999999</v>
      </c>
    </row>
    <row r="69" spans="1:26" ht="24" x14ac:dyDescent="0.55000000000000004">
      <c r="A69" s="357"/>
      <c r="B69" s="763" t="s">
        <v>310</v>
      </c>
      <c r="C69" s="134"/>
      <c r="D69" s="134"/>
      <c r="E69" s="899"/>
      <c r="F69" s="900"/>
      <c r="G69" s="900"/>
      <c r="H69" s="900"/>
      <c r="I69" s="418"/>
      <c r="J69" s="809"/>
      <c r="K69" s="810"/>
      <c r="L69" s="811"/>
      <c r="M69" s="811"/>
      <c r="N69" s="811"/>
      <c r="O69" s="782"/>
      <c r="P69" s="782"/>
      <c r="Q69" s="811"/>
      <c r="R69" s="811"/>
      <c r="S69" s="811"/>
      <c r="T69" s="811"/>
      <c r="U69" s="811"/>
      <c r="V69" s="762">
        <f t="shared" ref="V69:V70" si="21">SUM(J69:U69)</f>
        <v>0</v>
      </c>
      <c r="W69" s="762"/>
      <c r="X69" s="418"/>
      <c r="Y69" s="901"/>
    </row>
    <row r="70" spans="1:26" ht="24" x14ac:dyDescent="0.55000000000000004">
      <c r="A70" s="357"/>
      <c r="B70" s="758"/>
      <c r="C70" s="758" t="s">
        <v>311</v>
      </c>
      <c r="D70" s="758"/>
      <c r="E70" s="817"/>
      <c r="F70" s="356">
        <v>0</v>
      </c>
      <c r="G70" s="356">
        <v>0</v>
      </c>
      <c r="H70" s="356">
        <v>0</v>
      </c>
      <c r="I70" s="356">
        <v>0</v>
      </c>
      <c r="J70" s="854" t="s">
        <v>217</v>
      </c>
      <c r="K70" s="854" t="s">
        <v>217</v>
      </c>
      <c r="L70" s="898"/>
      <c r="M70" s="898"/>
      <c r="N70" s="898"/>
      <c r="O70" s="796"/>
      <c r="P70" s="796"/>
      <c r="Q70" s="898"/>
      <c r="R70" s="898"/>
      <c r="S70" s="898"/>
      <c r="T70" s="898"/>
      <c r="U70" s="898"/>
      <c r="V70" s="762">
        <f t="shared" si="21"/>
        <v>0</v>
      </c>
      <c r="W70" s="762"/>
      <c r="X70" s="356">
        <v>0</v>
      </c>
      <c r="Y70" s="356">
        <v>0</v>
      </c>
    </row>
    <row r="71" spans="1:26" ht="24" x14ac:dyDescent="0.55000000000000004">
      <c r="A71" s="357"/>
      <c r="B71" s="758"/>
      <c r="C71" s="758" t="s">
        <v>312</v>
      </c>
      <c r="D71" s="758"/>
      <c r="E71" s="817"/>
      <c r="F71" s="764"/>
      <c r="G71" s="769">
        <v>1413687</v>
      </c>
      <c r="H71" s="769">
        <v>1259253.5</v>
      </c>
      <c r="I71" s="769">
        <v>1127488.5</v>
      </c>
      <c r="J71" s="769">
        <v>815188.5</v>
      </c>
      <c r="K71" s="769">
        <v>831238.5</v>
      </c>
      <c r="L71" s="769">
        <v>1037488.5</v>
      </c>
      <c r="M71" s="769">
        <v>1052426.5</v>
      </c>
      <c r="N71" s="769">
        <v>1305776.5</v>
      </c>
      <c r="O71" s="776">
        <v>1324366.5</v>
      </c>
      <c r="P71" s="776">
        <v>1462666.5</v>
      </c>
      <c r="Q71" s="769">
        <v>1556916.5</v>
      </c>
      <c r="R71" s="769">
        <v>1514416.5</v>
      </c>
      <c r="S71" s="769">
        <v>1576904.5</v>
      </c>
      <c r="T71" s="769">
        <v>1578204.5</v>
      </c>
      <c r="U71" s="769">
        <v>1677304.5</v>
      </c>
      <c r="V71" s="769"/>
      <c r="W71" s="769"/>
      <c r="X71" s="769">
        <v>1247488.5</v>
      </c>
      <c r="Y71" s="769">
        <v>1247488.5</v>
      </c>
    </row>
    <row r="72" spans="1:26" ht="24" x14ac:dyDescent="0.55000000000000004">
      <c r="A72" s="357"/>
      <c r="B72" s="799"/>
      <c r="C72" s="799" t="s">
        <v>560</v>
      </c>
      <c r="D72" s="799"/>
      <c r="E72" s="799"/>
      <c r="F72" s="902"/>
      <c r="G72" s="902"/>
      <c r="H72" s="902"/>
      <c r="I72" s="903"/>
      <c r="J72" s="904"/>
      <c r="K72" s="905"/>
      <c r="L72" s="906"/>
      <c r="M72" s="906"/>
      <c r="N72" s="906"/>
      <c r="O72" s="782"/>
      <c r="P72" s="782"/>
      <c r="Q72" s="906"/>
      <c r="R72" s="906"/>
      <c r="S72" s="906"/>
      <c r="T72" s="906"/>
      <c r="U72" s="906"/>
      <c r="V72" s="907">
        <f>SUM(J72:U72)</f>
        <v>0</v>
      </c>
      <c r="W72" s="906">
        <v>0</v>
      </c>
      <c r="X72" s="903"/>
      <c r="Y72" s="902"/>
    </row>
    <row r="73" spans="1:26" ht="24" x14ac:dyDescent="0.55000000000000004">
      <c r="A73" s="357"/>
      <c r="B73" s="758"/>
      <c r="C73" s="758"/>
      <c r="D73" s="758"/>
      <c r="E73" s="758" t="s">
        <v>561</v>
      </c>
      <c r="F73" s="764">
        <v>0</v>
      </c>
      <c r="G73" s="764">
        <v>0</v>
      </c>
      <c r="H73" s="764">
        <v>0</v>
      </c>
      <c r="I73" s="764">
        <v>0</v>
      </c>
      <c r="J73" s="908"/>
      <c r="K73" s="909"/>
      <c r="L73" s="910"/>
      <c r="M73" s="910"/>
      <c r="N73" s="910"/>
      <c r="O73" s="796"/>
      <c r="P73" s="796"/>
      <c r="Q73" s="910"/>
      <c r="R73" s="910"/>
      <c r="S73" s="910"/>
      <c r="T73" s="910"/>
      <c r="U73" s="910"/>
      <c r="V73" s="910"/>
      <c r="W73" s="910">
        <v>0</v>
      </c>
      <c r="X73" s="764">
        <v>0</v>
      </c>
      <c r="Y73" s="764">
        <v>0</v>
      </c>
    </row>
    <row r="74" spans="1:26" ht="24" x14ac:dyDescent="0.55000000000000004">
      <c r="A74" s="357"/>
      <c r="B74" s="758"/>
      <c r="C74" s="758"/>
      <c r="D74" s="758"/>
      <c r="E74" s="758" t="s">
        <v>562</v>
      </c>
      <c r="F74" s="769">
        <v>22505738.969999999</v>
      </c>
      <c r="G74" s="770">
        <f t="shared" ref="G74:I74" si="22">G65-G71</f>
        <v>24458115.080000032</v>
      </c>
      <c r="H74" s="770">
        <f t="shared" si="22"/>
        <v>74108740.849999979</v>
      </c>
      <c r="I74" s="770">
        <f t="shared" si="22"/>
        <v>89061261.640000001</v>
      </c>
      <c r="J74" s="770">
        <v>91869213.120000005</v>
      </c>
      <c r="K74" s="770">
        <v>112118074.34</v>
      </c>
      <c r="L74" s="770">
        <v>114369554.23</v>
      </c>
      <c r="M74" s="770">
        <v>140109806.28</v>
      </c>
      <c r="N74" s="770">
        <f>N68-N71</f>
        <v>96475069.709999993</v>
      </c>
      <c r="O74" s="770">
        <v>129656886.16</v>
      </c>
      <c r="P74" s="770">
        <f t="shared" ref="P74:T74" si="23">P65-P71</f>
        <v>126105811.34999999</v>
      </c>
      <c r="Q74" s="770">
        <f t="shared" si="23"/>
        <v>118084326.27999999</v>
      </c>
      <c r="R74" s="770">
        <f t="shared" si="23"/>
        <v>96498771.030000001</v>
      </c>
      <c r="S74" s="770">
        <f t="shared" si="23"/>
        <v>81408230.150000006</v>
      </c>
      <c r="T74" s="770">
        <f t="shared" si="23"/>
        <v>68570971.040000007</v>
      </c>
      <c r="U74" s="770">
        <v>69745628.739999995</v>
      </c>
      <c r="V74" s="770">
        <f t="shared" ref="V74:W74" si="24">V68-V71</f>
        <v>0</v>
      </c>
      <c r="W74" s="770">
        <f t="shared" si="24"/>
        <v>0</v>
      </c>
      <c r="X74" s="770">
        <f t="shared" ref="X74:Y74" si="25">X65-X71</f>
        <v>119743261.64</v>
      </c>
      <c r="Y74" s="770">
        <f t="shared" si="25"/>
        <v>147380261.63999999</v>
      </c>
    </row>
    <row r="75" spans="1:26" ht="24" x14ac:dyDescent="0.55000000000000004">
      <c r="A75" s="357"/>
      <c r="B75" s="758"/>
      <c r="C75" s="758"/>
      <c r="D75" s="758"/>
      <c r="E75" s="758" t="s">
        <v>563</v>
      </c>
      <c r="F75" s="776">
        <v>10187.049999999999</v>
      </c>
      <c r="G75" s="777">
        <v>0</v>
      </c>
      <c r="H75" s="777">
        <v>0</v>
      </c>
      <c r="I75" s="777">
        <v>0</v>
      </c>
      <c r="J75" s="762"/>
      <c r="K75" s="762"/>
      <c r="L75" s="762"/>
      <c r="M75" s="762"/>
      <c r="N75" s="762"/>
      <c r="O75" s="762"/>
      <c r="P75" s="762"/>
      <c r="Q75" s="762"/>
      <c r="R75" s="762"/>
      <c r="S75" s="762"/>
      <c r="T75" s="762"/>
      <c r="U75" s="762"/>
      <c r="V75" s="762"/>
      <c r="W75" s="911">
        <v>0</v>
      </c>
      <c r="X75" s="764">
        <v>0</v>
      </c>
      <c r="Y75" s="764">
        <v>0</v>
      </c>
    </row>
    <row r="76" spans="1:26" ht="24" x14ac:dyDescent="0.4">
      <c r="A76" s="357"/>
      <c r="B76" s="758"/>
      <c r="C76" s="758"/>
      <c r="D76" s="758"/>
      <c r="E76" s="912" t="s">
        <v>564</v>
      </c>
      <c r="F76" s="764">
        <f t="shared" ref="F76:Y76" si="26">SUM(F70:F71,F73,F74,F75)</f>
        <v>22515926.02</v>
      </c>
      <c r="G76" s="764">
        <f t="shared" si="26"/>
        <v>25871802.080000032</v>
      </c>
      <c r="H76" s="764">
        <f t="shared" si="26"/>
        <v>75367994.349999979</v>
      </c>
      <c r="I76" s="764">
        <f t="shared" si="26"/>
        <v>90188750.140000001</v>
      </c>
      <c r="J76" s="764">
        <f t="shared" si="26"/>
        <v>92684401.620000005</v>
      </c>
      <c r="K76" s="764">
        <f t="shared" si="26"/>
        <v>112949312.84</v>
      </c>
      <c r="L76" s="764">
        <f t="shared" si="26"/>
        <v>115407042.73</v>
      </c>
      <c r="M76" s="764">
        <f t="shared" si="26"/>
        <v>141162232.78</v>
      </c>
      <c r="N76" s="764">
        <f t="shared" si="26"/>
        <v>97780846.209999993</v>
      </c>
      <c r="O76" s="764">
        <f t="shared" si="26"/>
        <v>130981252.66</v>
      </c>
      <c r="P76" s="764">
        <f t="shared" si="26"/>
        <v>127568477.84999999</v>
      </c>
      <c r="Q76" s="764">
        <f t="shared" si="26"/>
        <v>119641242.77999999</v>
      </c>
      <c r="R76" s="764">
        <f t="shared" si="26"/>
        <v>98013187.530000001</v>
      </c>
      <c r="S76" s="764">
        <f t="shared" si="26"/>
        <v>82985134.650000006</v>
      </c>
      <c r="T76" s="764">
        <f t="shared" si="26"/>
        <v>70149175.540000007</v>
      </c>
      <c r="U76" s="764">
        <f t="shared" si="26"/>
        <v>71422933.239999995</v>
      </c>
      <c r="V76" s="764">
        <f t="shared" si="26"/>
        <v>0</v>
      </c>
      <c r="W76" s="764">
        <f t="shared" si="26"/>
        <v>0</v>
      </c>
      <c r="X76" s="764">
        <f t="shared" si="26"/>
        <v>120990750.14</v>
      </c>
      <c r="Y76" s="764">
        <f t="shared" si="26"/>
        <v>148627750.13999999</v>
      </c>
    </row>
    <row r="77" spans="1:26" ht="24" x14ac:dyDescent="0.55000000000000004">
      <c r="A77" s="68"/>
      <c r="B77" s="353"/>
      <c r="C77" s="353"/>
      <c r="D77" s="353"/>
      <c r="E77" s="913"/>
      <c r="F77" s="914"/>
      <c r="G77" s="914"/>
      <c r="H77" s="914"/>
      <c r="I77" s="915"/>
      <c r="J77" s="417"/>
      <c r="K77" s="417"/>
      <c r="L77" s="417"/>
      <c r="M77" s="417"/>
      <c r="N77" s="417"/>
      <c r="O77" s="417"/>
      <c r="P77" s="417"/>
      <c r="Q77" s="417"/>
      <c r="R77" s="417"/>
      <c r="S77" s="417"/>
      <c r="T77" s="417"/>
      <c r="U77" s="417"/>
      <c r="V77" s="417"/>
      <c r="W77" s="417"/>
      <c r="X77" s="915"/>
      <c r="Y77" s="915"/>
    </row>
    <row r="78" spans="1:26" ht="24" x14ac:dyDescent="0.55000000000000004">
      <c r="A78" s="68"/>
      <c r="B78" s="353" t="s">
        <v>707</v>
      </c>
      <c r="C78" s="353"/>
      <c r="D78" s="353"/>
      <c r="E78" s="913"/>
      <c r="F78" s="916"/>
      <c r="G78" s="916"/>
      <c r="H78" s="916"/>
      <c r="I78" s="917" t="s">
        <v>443</v>
      </c>
      <c r="J78" s="417"/>
      <c r="K78" s="417"/>
      <c r="L78" s="417"/>
      <c r="M78" s="417"/>
      <c r="N78" s="417"/>
      <c r="O78" s="417"/>
      <c r="P78" s="417"/>
      <c r="Q78" s="417"/>
      <c r="R78" s="417"/>
      <c r="S78" s="417"/>
      <c r="T78" s="417"/>
      <c r="U78" s="417"/>
      <c r="V78" s="417"/>
      <c r="W78" s="417"/>
      <c r="X78" s="917" t="s">
        <v>456</v>
      </c>
      <c r="Y78" s="917" t="s">
        <v>457</v>
      </c>
    </row>
    <row r="79" spans="1:26" ht="24" x14ac:dyDescent="0.55000000000000004">
      <c r="A79" s="68"/>
      <c r="B79" s="353"/>
      <c r="C79" s="918"/>
      <c r="D79" s="918"/>
      <c r="E79" s="919" t="s">
        <v>708</v>
      </c>
      <c r="F79" s="920"/>
      <c r="G79" s="920"/>
      <c r="H79" s="920"/>
      <c r="I79" s="921">
        <v>0</v>
      </c>
      <c r="J79" s="922"/>
      <c r="K79" s="922"/>
      <c r="L79" s="922"/>
      <c r="M79" s="922"/>
      <c r="N79" s="922"/>
      <c r="O79" s="922"/>
      <c r="P79" s="922"/>
      <c r="Q79" s="922"/>
      <c r="R79" s="922"/>
      <c r="S79" s="922"/>
      <c r="T79" s="922"/>
      <c r="U79" s="922"/>
      <c r="V79" s="922"/>
      <c r="W79" s="922"/>
      <c r="X79" s="921">
        <v>0</v>
      </c>
      <c r="Y79" s="923">
        <v>0</v>
      </c>
    </row>
    <row r="80" spans="1:26" ht="24" x14ac:dyDescent="0.55000000000000004">
      <c r="A80" s="68"/>
      <c r="B80" s="353"/>
      <c r="C80" s="918"/>
      <c r="D80" s="918"/>
      <c r="E80" s="919" t="s">
        <v>709</v>
      </c>
      <c r="F80" s="920"/>
      <c r="G80" s="920"/>
      <c r="H80" s="920"/>
      <c r="I80" s="921">
        <v>0</v>
      </c>
      <c r="J80" s="922"/>
      <c r="K80" s="922"/>
      <c r="L80" s="922"/>
      <c r="M80" s="922"/>
      <c r="N80" s="922"/>
      <c r="O80" s="922"/>
      <c r="P80" s="922"/>
      <c r="Q80" s="922"/>
      <c r="R80" s="922"/>
      <c r="S80" s="922"/>
      <c r="T80" s="922"/>
      <c r="U80" s="922"/>
      <c r="V80" s="922"/>
      <c r="W80" s="922"/>
      <c r="X80" s="921">
        <v>0</v>
      </c>
      <c r="Y80" s="923">
        <v>0</v>
      </c>
    </row>
    <row r="81" spans="1:25" ht="24" x14ac:dyDescent="0.55000000000000004">
      <c r="A81" s="68"/>
      <c r="B81" s="353"/>
      <c r="C81" s="918"/>
      <c r="D81" s="918"/>
      <c r="E81" s="919" t="s">
        <v>710</v>
      </c>
      <c r="F81" s="920"/>
      <c r="G81" s="920"/>
      <c r="H81" s="920"/>
      <c r="I81" s="921">
        <f>IFERROR((I50+I54)/I62,0)</f>
        <v>0</v>
      </c>
      <c r="J81" s="921"/>
      <c r="K81" s="921"/>
      <c r="L81" s="921"/>
      <c r="M81" s="921"/>
      <c r="N81" s="921"/>
      <c r="O81" s="921"/>
      <c r="P81" s="921"/>
      <c r="Q81" s="921"/>
      <c r="R81" s="921"/>
      <c r="S81" s="921"/>
      <c r="T81" s="921"/>
      <c r="U81" s="921"/>
      <c r="V81" s="921"/>
      <c r="W81" s="921"/>
      <c r="X81" s="921">
        <f t="shared" ref="X81:Y81" si="27">IFERROR((X50+X54)/X62,0)</f>
        <v>0</v>
      </c>
      <c r="Y81" s="921">
        <f t="shared" si="27"/>
        <v>0</v>
      </c>
    </row>
    <row r="82" spans="1:25" ht="24" x14ac:dyDescent="0.55000000000000004">
      <c r="A82" s="68"/>
      <c r="B82" s="68" t="s">
        <v>711</v>
      </c>
      <c r="C82" s="353"/>
      <c r="D82" s="353"/>
      <c r="E82" s="913"/>
      <c r="F82" s="916"/>
      <c r="G82" s="916"/>
      <c r="H82" s="916"/>
      <c r="I82" s="924"/>
      <c r="J82" s="924"/>
      <c r="K82" s="924"/>
      <c r="L82" s="924"/>
      <c r="M82" s="924"/>
      <c r="N82" s="924"/>
      <c r="O82" s="924"/>
      <c r="P82" s="924"/>
      <c r="Q82" s="924"/>
      <c r="R82" s="924"/>
      <c r="S82" s="924"/>
      <c r="T82" s="924"/>
      <c r="U82" s="924"/>
      <c r="V82" s="924"/>
      <c r="W82" s="924"/>
      <c r="X82" s="924"/>
      <c r="Y82" s="924"/>
    </row>
    <row r="83" spans="1:25" ht="24" x14ac:dyDescent="0.55000000000000004">
      <c r="A83" s="68"/>
      <c r="B83" s="68"/>
      <c r="C83" s="68"/>
      <c r="D83" s="68"/>
      <c r="E83" s="68" t="s">
        <v>712</v>
      </c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925"/>
    </row>
    <row r="84" spans="1:25" ht="24" x14ac:dyDescent="0.55000000000000004">
      <c r="A84" s="68"/>
      <c r="B84" s="353"/>
      <c r="C84" s="68"/>
      <c r="D84" s="68"/>
      <c r="E84" s="68" t="s">
        <v>713</v>
      </c>
      <c r="F84" s="417"/>
      <c r="G84" s="417"/>
      <c r="H84" s="417"/>
      <c r="I84" s="417"/>
      <c r="J84" s="417"/>
      <c r="K84" s="417"/>
      <c r="L84" s="417"/>
      <c r="M84" s="417"/>
      <c r="N84" s="417"/>
      <c r="O84" s="417"/>
      <c r="P84" s="417"/>
      <c r="Q84" s="417"/>
      <c r="R84" s="417"/>
      <c r="S84" s="417"/>
      <c r="T84" s="417"/>
      <c r="U84" s="417"/>
      <c r="V84" s="417"/>
      <c r="W84" s="417"/>
      <c r="X84" s="417"/>
      <c r="Y84" s="925"/>
    </row>
    <row r="85" spans="1:25" ht="24" x14ac:dyDescent="0.55000000000000004">
      <c r="A85" s="68"/>
      <c r="B85" s="68"/>
      <c r="C85" s="68"/>
      <c r="D85" s="68"/>
      <c r="E85" s="68" t="s">
        <v>714</v>
      </c>
      <c r="F85" s="417"/>
      <c r="G85" s="417"/>
      <c r="H85" s="417"/>
      <c r="I85" s="417"/>
      <c r="J85" s="417"/>
      <c r="K85" s="417"/>
      <c r="L85" s="417"/>
      <c r="M85" s="417"/>
      <c r="N85" s="417"/>
      <c r="O85" s="417"/>
      <c r="P85" s="417"/>
      <c r="Q85" s="417"/>
      <c r="R85" s="417"/>
      <c r="S85" s="417"/>
      <c r="T85" s="417"/>
      <c r="U85" s="417"/>
      <c r="V85" s="417"/>
      <c r="W85" s="417"/>
      <c r="X85" s="417"/>
      <c r="Y85" s="925"/>
    </row>
    <row r="86" spans="1:25" ht="24" x14ac:dyDescent="0.55000000000000004">
      <c r="A86" s="68"/>
      <c r="B86" s="68"/>
      <c r="C86" s="68"/>
      <c r="D86" s="68"/>
      <c r="E86" s="68" t="s">
        <v>715</v>
      </c>
      <c r="F86" s="417"/>
      <c r="G86" s="417"/>
      <c r="H86" s="417"/>
      <c r="I86" s="41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7"/>
      <c r="Y86" s="925"/>
    </row>
    <row r="87" spans="1:25" ht="24" x14ac:dyDescent="0.55000000000000004">
      <c r="A87" s="68"/>
      <c r="B87" s="68"/>
      <c r="C87" s="68"/>
      <c r="D87" s="68"/>
      <c r="E87" s="68" t="s">
        <v>716</v>
      </c>
      <c r="F87" s="417"/>
      <c r="G87" s="417"/>
      <c r="H87" s="417"/>
      <c r="I87" s="417"/>
      <c r="J87" s="417"/>
      <c r="K87" s="417"/>
      <c r="L87" s="417"/>
      <c r="M87" s="417"/>
      <c r="N87" s="417"/>
      <c r="O87" s="417"/>
      <c r="P87" s="417"/>
      <c r="Q87" s="417"/>
      <c r="R87" s="417"/>
      <c r="S87" s="417"/>
      <c r="T87" s="417"/>
      <c r="U87" s="417"/>
      <c r="V87" s="417"/>
      <c r="W87" s="417"/>
      <c r="X87" s="417"/>
      <c r="Y87" s="925"/>
    </row>
    <row r="88" spans="1:25" ht="24" x14ac:dyDescent="0.55000000000000004">
      <c r="A88" s="68"/>
      <c r="B88" s="68"/>
      <c r="C88" s="68"/>
      <c r="D88" s="68"/>
      <c r="E88" s="68"/>
      <c r="F88" s="417"/>
      <c r="G88" s="417"/>
      <c r="H88" s="417"/>
      <c r="I88" s="417"/>
      <c r="J88" s="417"/>
      <c r="K88" s="417"/>
      <c r="L88" s="417"/>
      <c r="M88" s="417"/>
      <c r="N88" s="417"/>
      <c r="O88" s="417"/>
      <c r="P88" s="417"/>
      <c r="Q88" s="417"/>
      <c r="R88" s="417"/>
      <c r="S88" s="417"/>
      <c r="T88" s="417"/>
      <c r="U88" s="417"/>
      <c r="V88" s="417"/>
      <c r="W88" s="417"/>
      <c r="X88" s="417"/>
      <c r="Y88" s="925"/>
    </row>
    <row r="89" spans="1:25" ht="24" x14ac:dyDescent="0.55000000000000004">
      <c r="A89" s="68"/>
      <c r="B89" s="68"/>
      <c r="C89" s="68"/>
      <c r="D89" s="68"/>
      <c r="E89" s="353"/>
      <c r="F89" s="417"/>
      <c r="G89" s="417"/>
      <c r="H89" s="417"/>
      <c r="I89" s="417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417"/>
      <c r="Y89" s="925"/>
    </row>
    <row r="90" spans="1:25" ht="24" x14ac:dyDescent="0.55000000000000004">
      <c r="A90" s="68"/>
      <c r="B90" s="353"/>
      <c r="C90" s="353" t="s">
        <v>717</v>
      </c>
      <c r="D90" s="353"/>
      <c r="E90" s="710" t="s">
        <v>718</v>
      </c>
      <c r="F90" s="743"/>
      <c r="G90" s="743"/>
      <c r="H90" s="743"/>
      <c r="I90" s="743"/>
      <c r="J90" s="743"/>
      <c r="K90" s="743"/>
      <c r="L90" s="743"/>
      <c r="M90" s="743"/>
      <c r="N90" s="743"/>
      <c r="O90" s="743"/>
      <c r="P90" s="743"/>
      <c r="Q90" s="743"/>
      <c r="R90" s="743"/>
      <c r="S90" s="743"/>
      <c r="T90" s="743"/>
      <c r="U90" s="743"/>
      <c r="V90" s="743"/>
      <c r="W90" s="743"/>
      <c r="X90" s="743"/>
      <c r="Y90" s="743"/>
    </row>
    <row r="91" spans="1:25" ht="24" x14ac:dyDescent="0.4">
      <c r="A91" s="53"/>
      <c r="B91" s="694"/>
      <c r="C91" s="694"/>
      <c r="D91" s="694"/>
      <c r="E91" s="710" t="s">
        <v>719</v>
      </c>
      <c r="F91" s="743"/>
      <c r="G91" s="743"/>
      <c r="H91" s="743"/>
      <c r="I91" s="743"/>
      <c r="J91" s="743"/>
      <c r="K91" s="743"/>
      <c r="L91" s="743"/>
      <c r="M91" s="743"/>
      <c r="N91" s="743"/>
      <c r="O91" s="743"/>
      <c r="P91" s="743"/>
      <c r="Q91" s="743"/>
      <c r="R91" s="743"/>
      <c r="S91" s="743"/>
      <c r="T91" s="743"/>
      <c r="U91" s="743"/>
      <c r="V91" s="743"/>
      <c r="W91" s="743"/>
      <c r="X91" s="743"/>
      <c r="Y91" s="743"/>
    </row>
    <row r="92" spans="1:25" ht="24" x14ac:dyDescent="0.4">
      <c r="A92" s="53"/>
      <c r="B92" s="694"/>
      <c r="C92" s="694"/>
      <c r="D92" s="694"/>
      <c r="E92" s="710" t="s">
        <v>720</v>
      </c>
      <c r="F92" s="743"/>
      <c r="G92" s="743"/>
      <c r="H92" s="743"/>
      <c r="I92" s="743"/>
      <c r="J92" s="743"/>
      <c r="K92" s="743"/>
      <c r="L92" s="743"/>
      <c r="M92" s="743"/>
      <c r="N92" s="743"/>
      <c r="O92" s="743"/>
      <c r="P92" s="743"/>
      <c r="Q92" s="743"/>
      <c r="R92" s="743"/>
      <c r="S92" s="743"/>
      <c r="T92" s="743"/>
      <c r="U92" s="743"/>
      <c r="V92" s="743"/>
      <c r="W92" s="743"/>
      <c r="X92" s="743"/>
      <c r="Y92" s="743"/>
    </row>
    <row r="93" spans="1:25" ht="24" x14ac:dyDescent="0.4">
      <c r="A93" s="53"/>
      <c r="B93" s="694"/>
      <c r="C93" s="694"/>
      <c r="D93" s="694"/>
      <c r="E93" s="710"/>
      <c r="F93" s="743"/>
      <c r="G93" s="743"/>
      <c r="H93" s="743"/>
      <c r="I93" s="743"/>
      <c r="J93" s="743"/>
      <c r="K93" s="743"/>
      <c r="L93" s="743"/>
      <c r="M93" s="743"/>
      <c r="N93" s="743"/>
      <c r="O93" s="743"/>
      <c r="P93" s="743"/>
      <c r="Q93" s="743"/>
      <c r="R93" s="743"/>
      <c r="S93" s="743"/>
      <c r="T93" s="743"/>
      <c r="U93" s="743"/>
      <c r="V93" s="743"/>
      <c r="W93" s="743"/>
      <c r="X93" s="743"/>
      <c r="Y93" s="743"/>
    </row>
    <row r="94" spans="1:25" ht="24" x14ac:dyDescent="0.4">
      <c r="A94" s="53"/>
      <c r="B94" s="53"/>
      <c r="C94" s="53"/>
      <c r="D94" s="53"/>
      <c r="E94" s="926"/>
      <c r="F94" s="743"/>
      <c r="G94" s="743"/>
      <c r="H94" s="743"/>
      <c r="I94" s="743"/>
      <c r="J94" s="743"/>
      <c r="K94" s="743"/>
      <c r="L94" s="743"/>
      <c r="M94" s="743"/>
      <c r="N94" s="743"/>
      <c r="O94" s="743"/>
      <c r="P94" s="743"/>
      <c r="Q94" s="743"/>
      <c r="R94" s="743"/>
      <c r="S94" s="743"/>
      <c r="T94" s="743"/>
      <c r="U94" s="743"/>
      <c r="V94" s="743"/>
      <c r="W94" s="743"/>
      <c r="X94" s="743"/>
      <c r="Y94" s="743"/>
    </row>
    <row r="95" spans="1:25" ht="24" x14ac:dyDescent="0.4">
      <c r="A95" s="53"/>
      <c r="B95" s="53"/>
      <c r="C95" s="53"/>
      <c r="D95" s="53"/>
      <c r="E95" s="710" t="s">
        <v>721</v>
      </c>
      <c r="F95" s="743"/>
      <c r="G95" s="743"/>
      <c r="H95" s="743"/>
      <c r="I95" s="743"/>
      <c r="J95" s="743"/>
      <c r="K95" s="743"/>
      <c r="L95" s="743"/>
      <c r="M95" s="743"/>
      <c r="N95" s="743"/>
      <c r="O95" s="743"/>
      <c r="P95" s="743"/>
      <c r="Q95" s="743"/>
      <c r="R95" s="743"/>
      <c r="S95" s="743"/>
      <c r="T95" s="743"/>
      <c r="U95" s="743"/>
      <c r="V95" s="743"/>
      <c r="W95" s="743"/>
      <c r="X95" s="743"/>
      <c r="Y95" s="743"/>
    </row>
    <row r="96" spans="1:25" ht="24" x14ac:dyDescent="0.4">
      <c r="A96" s="53"/>
      <c r="B96" s="53"/>
      <c r="C96" s="53"/>
      <c r="D96" s="53"/>
      <c r="E96" s="710" t="s">
        <v>722</v>
      </c>
      <c r="F96" s="743"/>
      <c r="G96" s="743"/>
      <c r="H96" s="743"/>
      <c r="I96" s="743"/>
      <c r="J96" s="743"/>
      <c r="K96" s="743"/>
      <c r="L96" s="743"/>
      <c r="M96" s="743"/>
      <c r="N96" s="743"/>
      <c r="O96" s="743"/>
      <c r="P96" s="743"/>
      <c r="Q96" s="743"/>
      <c r="R96" s="743"/>
      <c r="S96" s="743"/>
      <c r="T96" s="743"/>
      <c r="U96" s="743"/>
      <c r="V96" s="743"/>
      <c r="W96" s="743"/>
      <c r="X96" s="743"/>
      <c r="Y96" s="743"/>
    </row>
    <row r="97" spans="1:25" ht="24" x14ac:dyDescent="0.55000000000000004">
      <c r="A97" s="68"/>
      <c r="B97" s="68"/>
      <c r="C97" s="68"/>
      <c r="D97" s="68"/>
      <c r="E97" s="68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925"/>
    </row>
    <row r="98" spans="1:25" ht="24" x14ac:dyDescent="0.55000000000000004">
      <c r="A98" s="68"/>
      <c r="B98" s="68"/>
      <c r="C98" s="68"/>
      <c r="D98" s="68"/>
      <c r="E98" s="68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925"/>
    </row>
    <row r="99" spans="1:25" ht="24" x14ac:dyDescent="0.55000000000000004">
      <c r="A99" s="68"/>
      <c r="B99" s="68"/>
      <c r="C99" s="68"/>
      <c r="D99" s="68"/>
      <c r="E99" s="68"/>
      <c r="F99" s="354"/>
      <c r="G99" s="354"/>
      <c r="H99" s="354"/>
      <c r="I99" s="354"/>
      <c r="J99" s="354"/>
      <c r="K99" s="354"/>
      <c r="L99" s="354"/>
      <c r="M99" s="354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4"/>
      <c r="Y99" s="925"/>
    </row>
    <row r="100" spans="1:25" ht="24" x14ac:dyDescent="0.55000000000000004">
      <c r="A100" s="68"/>
      <c r="B100" s="68"/>
      <c r="C100" s="68"/>
      <c r="D100" s="68"/>
      <c r="E100" s="68"/>
      <c r="F100" s="354"/>
      <c r="G100" s="354"/>
      <c r="H100" s="354"/>
      <c r="I100" s="354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925"/>
    </row>
    <row r="101" spans="1:25" ht="24" x14ac:dyDescent="0.55000000000000004">
      <c r="A101" s="68"/>
      <c r="B101" s="68"/>
      <c r="C101" s="68"/>
      <c r="D101" s="68"/>
      <c r="E101" s="68"/>
      <c r="F101" s="354"/>
      <c r="G101" s="354"/>
      <c r="H101" s="354"/>
      <c r="I101" s="354"/>
      <c r="J101" s="354"/>
      <c r="K101" s="354"/>
      <c r="L101" s="354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925"/>
    </row>
    <row r="102" spans="1:25" ht="24" x14ac:dyDescent="0.55000000000000004">
      <c r="A102" s="68"/>
      <c r="B102" s="68"/>
      <c r="C102" s="68"/>
      <c r="D102" s="68"/>
      <c r="E102" s="68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925"/>
    </row>
    <row r="103" spans="1:25" ht="24" x14ac:dyDescent="0.55000000000000004">
      <c r="A103" s="68"/>
      <c r="B103" s="68"/>
      <c r="C103" s="68"/>
      <c r="D103" s="68"/>
      <c r="E103" s="68"/>
      <c r="F103" s="354"/>
      <c r="G103" s="354"/>
      <c r="H103" s="354"/>
      <c r="I103" s="354"/>
      <c r="J103" s="354"/>
      <c r="K103" s="354"/>
      <c r="L103" s="354"/>
      <c r="M103" s="354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925"/>
    </row>
    <row r="104" spans="1:25" ht="24" x14ac:dyDescent="0.55000000000000004">
      <c r="A104" s="68"/>
      <c r="B104" s="68"/>
      <c r="C104" s="68"/>
      <c r="D104" s="68"/>
      <c r="E104" s="68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925"/>
    </row>
    <row r="105" spans="1:25" ht="24" x14ac:dyDescent="0.55000000000000004">
      <c r="A105" s="68"/>
      <c r="B105" s="68"/>
      <c r="C105" s="68"/>
      <c r="D105" s="68"/>
      <c r="E105" s="68"/>
      <c r="F105" s="354"/>
      <c r="G105" s="354"/>
      <c r="H105" s="354"/>
      <c r="I105" s="354"/>
      <c r="J105" s="354"/>
      <c r="K105" s="354"/>
      <c r="L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925"/>
    </row>
    <row r="106" spans="1:25" ht="24" x14ac:dyDescent="0.55000000000000004">
      <c r="A106" s="68"/>
      <c r="B106" s="68"/>
      <c r="C106" s="68"/>
      <c r="D106" s="68"/>
      <c r="E106" s="68"/>
      <c r="F106" s="354"/>
      <c r="G106" s="354"/>
      <c r="H106" s="354"/>
      <c r="I106" s="354"/>
      <c r="J106" s="354"/>
      <c r="K106" s="354"/>
      <c r="L106" s="354"/>
      <c r="M106" s="354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4"/>
      <c r="Y106" s="925"/>
    </row>
    <row r="107" spans="1:25" ht="24" x14ac:dyDescent="0.55000000000000004">
      <c r="A107" s="68"/>
      <c r="B107" s="68"/>
      <c r="C107" s="68"/>
      <c r="D107" s="68"/>
      <c r="E107" s="68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925"/>
    </row>
    <row r="108" spans="1:25" ht="24" x14ac:dyDescent="0.55000000000000004">
      <c r="A108" s="68"/>
      <c r="B108" s="68"/>
      <c r="C108" s="68"/>
      <c r="D108" s="68"/>
      <c r="E108" s="68"/>
      <c r="F108" s="354"/>
      <c r="G108" s="354"/>
      <c r="H108" s="354"/>
      <c r="I108" s="354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925"/>
    </row>
    <row r="109" spans="1:25" ht="24" x14ac:dyDescent="0.55000000000000004">
      <c r="A109" s="68"/>
      <c r="B109" s="68"/>
      <c r="C109" s="68"/>
      <c r="D109" s="68"/>
      <c r="E109" s="68"/>
      <c r="F109" s="354"/>
      <c r="G109" s="354"/>
      <c r="H109" s="354"/>
      <c r="I109" s="354"/>
      <c r="J109" s="354"/>
      <c r="K109" s="354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925"/>
    </row>
    <row r="110" spans="1:25" ht="24" x14ac:dyDescent="0.55000000000000004">
      <c r="A110" s="68"/>
      <c r="B110" s="68"/>
      <c r="C110" s="68"/>
      <c r="D110" s="68"/>
      <c r="E110" s="68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925"/>
    </row>
    <row r="111" spans="1:25" ht="24" x14ac:dyDescent="0.55000000000000004">
      <c r="A111" s="68"/>
      <c r="B111" s="68"/>
      <c r="C111" s="68"/>
      <c r="D111" s="68"/>
      <c r="E111" s="68"/>
      <c r="F111" s="354"/>
      <c r="G111" s="354"/>
      <c r="H111" s="354"/>
      <c r="I111" s="354"/>
      <c r="J111" s="354"/>
      <c r="K111" s="354"/>
      <c r="L111" s="354"/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925"/>
    </row>
    <row r="112" spans="1:25" ht="24" x14ac:dyDescent="0.55000000000000004">
      <c r="A112" s="68"/>
      <c r="B112" s="68"/>
      <c r="C112" s="68"/>
      <c r="D112" s="68"/>
      <c r="E112" s="68"/>
      <c r="F112" s="354"/>
      <c r="G112" s="354"/>
      <c r="H112" s="354"/>
      <c r="I112" s="354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925"/>
    </row>
    <row r="113" spans="1:25" ht="24" x14ac:dyDescent="0.55000000000000004">
      <c r="A113" s="68"/>
      <c r="B113" s="68"/>
      <c r="C113" s="68"/>
      <c r="D113" s="68"/>
      <c r="E113" s="68"/>
      <c r="F113" s="354"/>
      <c r="G113" s="354"/>
      <c r="H113" s="354"/>
      <c r="I113" s="354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925"/>
    </row>
    <row r="114" spans="1:25" ht="24" x14ac:dyDescent="0.55000000000000004">
      <c r="A114" s="68"/>
      <c r="B114" s="68"/>
      <c r="C114" s="68"/>
      <c r="D114" s="68"/>
      <c r="E114" s="68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925"/>
    </row>
    <row r="115" spans="1:25" ht="24" x14ac:dyDescent="0.55000000000000004">
      <c r="A115" s="68"/>
      <c r="B115" s="68"/>
      <c r="C115" s="68"/>
      <c r="D115" s="68"/>
      <c r="E115" s="68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925"/>
    </row>
    <row r="116" spans="1:25" ht="24" x14ac:dyDescent="0.55000000000000004">
      <c r="A116" s="68"/>
      <c r="B116" s="68"/>
      <c r="C116" s="68"/>
      <c r="D116" s="68"/>
      <c r="E116" s="68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925"/>
    </row>
    <row r="117" spans="1:25" ht="24" x14ac:dyDescent="0.55000000000000004">
      <c r="A117" s="68"/>
      <c r="B117" s="68"/>
      <c r="C117" s="68"/>
      <c r="D117" s="68"/>
      <c r="E117" s="68"/>
      <c r="F117" s="354"/>
      <c r="G117" s="354"/>
      <c r="H117" s="354"/>
      <c r="I117" s="354"/>
      <c r="J117" s="354"/>
      <c r="K117" s="354"/>
      <c r="L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925"/>
    </row>
    <row r="118" spans="1:25" ht="24" x14ac:dyDescent="0.55000000000000004">
      <c r="A118" s="68"/>
      <c r="B118" s="68"/>
      <c r="C118" s="68"/>
      <c r="D118" s="68"/>
      <c r="E118" s="68"/>
      <c r="F118" s="354"/>
      <c r="G118" s="354"/>
      <c r="H118" s="354"/>
      <c r="I118" s="354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925"/>
    </row>
    <row r="119" spans="1:25" ht="24" x14ac:dyDescent="0.55000000000000004">
      <c r="A119" s="68"/>
      <c r="B119" s="68"/>
      <c r="C119" s="68"/>
      <c r="D119" s="68"/>
      <c r="E119" s="68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925"/>
    </row>
    <row r="120" spans="1:25" ht="24" x14ac:dyDescent="0.55000000000000004">
      <c r="A120" s="68"/>
      <c r="B120" s="68"/>
      <c r="C120" s="68"/>
      <c r="D120" s="68"/>
      <c r="E120" s="68"/>
      <c r="F120" s="354"/>
      <c r="G120" s="354"/>
      <c r="H120" s="354"/>
      <c r="I120" s="354"/>
      <c r="J120" s="354"/>
      <c r="K120" s="354"/>
      <c r="L120" s="354"/>
      <c r="M120" s="354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925"/>
    </row>
    <row r="121" spans="1:25" ht="24" x14ac:dyDescent="0.55000000000000004">
      <c r="A121" s="68"/>
      <c r="B121" s="68"/>
      <c r="C121" s="68"/>
      <c r="D121" s="68"/>
      <c r="E121" s="68"/>
      <c r="F121" s="354"/>
      <c r="G121" s="354"/>
      <c r="H121" s="354"/>
      <c r="I121" s="354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925"/>
    </row>
    <row r="122" spans="1:25" ht="24" x14ac:dyDescent="0.55000000000000004">
      <c r="A122" s="68"/>
      <c r="B122" s="68"/>
      <c r="C122" s="68"/>
      <c r="D122" s="68"/>
      <c r="E122" s="68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925"/>
    </row>
    <row r="123" spans="1:25" ht="24" x14ac:dyDescent="0.55000000000000004">
      <c r="A123" s="68"/>
      <c r="B123" s="68"/>
      <c r="C123" s="68"/>
      <c r="D123" s="68"/>
      <c r="E123" s="68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925"/>
    </row>
    <row r="124" spans="1:25" ht="24" x14ac:dyDescent="0.55000000000000004">
      <c r="A124" s="68"/>
      <c r="B124" s="68"/>
      <c r="C124" s="68"/>
      <c r="D124" s="68"/>
      <c r="E124" s="68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925"/>
    </row>
    <row r="125" spans="1:25" ht="24" x14ac:dyDescent="0.55000000000000004">
      <c r="A125" s="68"/>
      <c r="B125" s="68"/>
      <c r="C125" s="68"/>
      <c r="D125" s="68"/>
      <c r="E125" s="68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925"/>
    </row>
    <row r="126" spans="1:25" ht="24" x14ac:dyDescent="0.55000000000000004">
      <c r="A126" s="68"/>
      <c r="B126" s="68"/>
      <c r="C126" s="68"/>
      <c r="D126" s="68"/>
      <c r="E126" s="68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925"/>
    </row>
    <row r="127" spans="1:25" ht="24" x14ac:dyDescent="0.55000000000000004">
      <c r="A127" s="68"/>
      <c r="B127" s="68"/>
      <c r="C127" s="68"/>
      <c r="D127" s="68"/>
      <c r="E127" s="68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925"/>
    </row>
    <row r="128" spans="1:25" ht="24" x14ac:dyDescent="0.55000000000000004">
      <c r="A128" s="68"/>
      <c r="B128" s="68"/>
      <c r="C128" s="68"/>
      <c r="D128" s="68"/>
      <c r="E128" s="68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925"/>
    </row>
    <row r="129" spans="1:25" ht="24" x14ac:dyDescent="0.55000000000000004">
      <c r="A129" s="68"/>
      <c r="B129" s="68"/>
      <c r="C129" s="68"/>
      <c r="D129" s="68"/>
      <c r="E129" s="68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925"/>
    </row>
    <row r="130" spans="1:25" ht="24" x14ac:dyDescent="0.55000000000000004">
      <c r="A130" s="68"/>
      <c r="B130" s="68"/>
      <c r="C130" s="68"/>
      <c r="D130" s="68"/>
      <c r="E130" s="68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925"/>
    </row>
    <row r="131" spans="1:25" ht="24" x14ac:dyDescent="0.55000000000000004">
      <c r="A131" s="68"/>
      <c r="B131" s="68"/>
      <c r="C131" s="68"/>
      <c r="D131" s="68"/>
      <c r="E131" s="68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925"/>
    </row>
    <row r="132" spans="1:25" ht="24" x14ac:dyDescent="0.55000000000000004">
      <c r="A132" s="68"/>
      <c r="B132" s="68"/>
      <c r="C132" s="68"/>
      <c r="D132" s="68"/>
      <c r="E132" s="68"/>
      <c r="F132" s="354"/>
      <c r="G132" s="354"/>
      <c r="H132" s="354"/>
      <c r="I132" s="354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925"/>
    </row>
    <row r="133" spans="1:25" ht="24" x14ac:dyDescent="0.55000000000000004">
      <c r="A133" s="68"/>
      <c r="B133" s="68"/>
      <c r="C133" s="68"/>
      <c r="D133" s="68"/>
      <c r="E133" s="68"/>
      <c r="F133" s="354"/>
      <c r="G133" s="354"/>
      <c r="H133" s="354"/>
      <c r="I133" s="354"/>
      <c r="J133" s="354"/>
      <c r="K133" s="354"/>
      <c r="L133" s="354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4"/>
      <c r="Y133" s="925"/>
    </row>
    <row r="134" spans="1:25" ht="24" x14ac:dyDescent="0.55000000000000004">
      <c r="A134" s="68"/>
      <c r="B134" s="68"/>
      <c r="C134" s="68"/>
      <c r="D134" s="68"/>
      <c r="E134" s="68"/>
      <c r="F134" s="354"/>
      <c r="G134" s="354"/>
      <c r="H134" s="354"/>
      <c r="I134" s="354"/>
      <c r="J134" s="354"/>
      <c r="K134" s="354"/>
      <c r="L134" s="354"/>
      <c r="M134" s="354"/>
      <c r="N134" s="354"/>
      <c r="O134" s="354"/>
      <c r="P134" s="354"/>
      <c r="Q134" s="354"/>
      <c r="R134" s="354"/>
      <c r="S134" s="354"/>
      <c r="T134" s="354"/>
      <c r="U134" s="354"/>
      <c r="V134" s="354"/>
      <c r="W134" s="354"/>
      <c r="X134" s="354"/>
      <c r="Y134" s="925"/>
    </row>
    <row r="135" spans="1:25" ht="24" x14ac:dyDescent="0.55000000000000004">
      <c r="A135" s="68"/>
      <c r="B135" s="68"/>
      <c r="C135" s="68"/>
      <c r="D135" s="68"/>
      <c r="E135" s="68"/>
      <c r="F135" s="354"/>
      <c r="G135" s="354"/>
      <c r="H135" s="354"/>
      <c r="I135" s="354"/>
      <c r="J135" s="354"/>
      <c r="K135" s="354"/>
      <c r="L135" s="354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925"/>
    </row>
    <row r="136" spans="1:25" ht="24" x14ac:dyDescent="0.55000000000000004">
      <c r="A136" s="68"/>
      <c r="B136" s="68"/>
      <c r="C136" s="68"/>
      <c r="D136" s="68"/>
      <c r="E136" s="68"/>
      <c r="F136" s="354"/>
      <c r="G136" s="354"/>
      <c r="H136" s="354"/>
      <c r="I136" s="354"/>
      <c r="J136" s="354"/>
      <c r="K136" s="354"/>
      <c r="L136" s="354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925"/>
    </row>
    <row r="137" spans="1:25" ht="24" x14ac:dyDescent="0.55000000000000004">
      <c r="A137" s="68"/>
      <c r="B137" s="68"/>
      <c r="C137" s="68"/>
      <c r="D137" s="68"/>
      <c r="E137" s="68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4"/>
      <c r="R137" s="354"/>
      <c r="S137" s="354"/>
      <c r="T137" s="354"/>
      <c r="U137" s="354"/>
      <c r="V137" s="354"/>
      <c r="W137" s="354"/>
      <c r="X137" s="354"/>
      <c r="Y137" s="925"/>
    </row>
    <row r="138" spans="1:25" ht="24" x14ac:dyDescent="0.55000000000000004">
      <c r="A138" s="68"/>
      <c r="B138" s="68"/>
      <c r="C138" s="68"/>
      <c r="D138" s="68"/>
      <c r="E138" s="68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925"/>
    </row>
    <row r="139" spans="1:25" ht="24" x14ac:dyDescent="0.55000000000000004">
      <c r="A139" s="68"/>
      <c r="B139" s="68"/>
      <c r="C139" s="68"/>
      <c r="D139" s="68"/>
      <c r="E139" s="68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4"/>
      <c r="R139" s="354"/>
      <c r="S139" s="354"/>
      <c r="T139" s="354"/>
      <c r="U139" s="354"/>
      <c r="V139" s="354"/>
      <c r="W139" s="354"/>
      <c r="X139" s="354"/>
      <c r="Y139" s="925"/>
    </row>
    <row r="140" spans="1:25" ht="24" x14ac:dyDescent="0.55000000000000004">
      <c r="A140" s="68"/>
      <c r="B140" s="68"/>
      <c r="C140" s="68"/>
      <c r="D140" s="68"/>
      <c r="E140" s="68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4"/>
      <c r="R140" s="354"/>
      <c r="S140" s="354"/>
      <c r="T140" s="354"/>
      <c r="U140" s="354"/>
      <c r="V140" s="354"/>
      <c r="W140" s="354"/>
      <c r="X140" s="354"/>
      <c r="Y140" s="925"/>
    </row>
    <row r="141" spans="1:25" ht="24" x14ac:dyDescent="0.55000000000000004">
      <c r="A141" s="68"/>
      <c r="B141" s="68"/>
      <c r="C141" s="68"/>
      <c r="D141" s="68"/>
      <c r="E141" s="68"/>
      <c r="F141" s="354"/>
      <c r="G141" s="354"/>
      <c r="H141" s="354"/>
      <c r="I141" s="354"/>
      <c r="J141" s="354"/>
      <c r="K141" s="354"/>
      <c r="L141" s="354"/>
      <c r="M141" s="354"/>
      <c r="N141" s="354"/>
      <c r="O141" s="354"/>
      <c r="P141" s="354"/>
      <c r="Q141" s="354"/>
      <c r="R141" s="354"/>
      <c r="S141" s="354"/>
      <c r="T141" s="354"/>
      <c r="U141" s="354"/>
      <c r="V141" s="354"/>
      <c r="W141" s="354"/>
      <c r="X141" s="354"/>
      <c r="Y141" s="925"/>
    </row>
    <row r="142" spans="1:25" ht="24" x14ac:dyDescent="0.55000000000000004">
      <c r="A142" s="68"/>
      <c r="B142" s="68"/>
      <c r="C142" s="68"/>
      <c r="D142" s="68"/>
      <c r="E142" s="68"/>
      <c r="F142" s="354"/>
      <c r="G142" s="354"/>
      <c r="H142" s="354"/>
      <c r="I142" s="354"/>
      <c r="J142" s="354"/>
      <c r="K142" s="354"/>
      <c r="L142" s="354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925"/>
    </row>
    <row r="143" spans="1:25" ht="24" x14ac:dyDescent="0.55000000000000004">
      <c r="A143" s="68"/>
      <c r="B143" s="68"/>
      <c r="C143" s="68"/>
      <c r="D143" s="68"/>
      <c r="E143" s="68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4"/>
      <c r="R143" s="354"/>
      <c r="S143" s="354"/>
      <c r="T143" s="354"/>
      <c r="U143" s="354"/>
      <c r="V143" s="354"/>
      <c r="W143" s="354"/>
      <c r="X143" s="354"/>
      <c r="Y143" s="925"/>
    </row>
    <row r="144" spans="1:25" ht="24" x14ac:dyDescent="0.55000000000000004">
      <c r="A144" s="68"/>
      <c r="B144" s="68"/>
      <c r="C144" s="68"/>
      <c r="D144" s="68"/>
      <c r="E144" s="68"/>
      <c r="F144" s="354"/>
      <c r="G144" s="354"/>
      <c r="H144" s="354"/>
      <c r="I144" s="354"/>
      <c r="J144" s="354"/>
      <c r="K144" s="354"/>
      <c r="L144" s="354"/>
      <c r="M144" s="354"/>
      <c r="N144" s="354"/>
      <c r="O144" s="354"/>
      <c r="P144" s="354"/>
      <c r="Q144" s="354"/>
      <c r="R144" s="354"/>
      <c r="S144" s="354"/>
      <c r="T144" s="354"/>
      <c r="U144" s="354"/>
      <c r="V144" s="354"/>
      <c r="W144" s="354"/>
      <c r="X144" s="354"/>
      <c r="Y144" s="925"/>
    </row>
    <row r="145" spans="1:25" ht="24" x14ac:dyDescent="0.55000000000000004">
      <c r="A145" s="68"/>
      <c r="B145" s="68"/>
      <c r="C145" s="68"/>
      <c r="D145" s="68"/>
      <c r="E145" s="68"/>
      <c r="F145" s="354"/>
      <c r="G145" s="354"/>
      <c r="H145" s="354"/>
      <c r="I145" s="354"/>
      <c r="J145" s="354"/>
      <c r="K145" s="354"/>
      <c r="L145" s="354"/>
      <c r="M145" s="354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925"/>
    </row>
    <row r="146" spans="1:25" ht="24" x14ac:dyDescent="0.55000000000000004">
      <c r="A146" s="68"/>
      <c r="B146" s="68"/>
      <c r="C146" s="68"/>
      <c r="D146" s="68"/>
      <c r="E146" s="68"/>
      <c r="F146" s="354"/>
      <c r="G146" s="354"/>
      <c r="H146" s="354"/>
      <c r="I146" s="354"/>
      <c r="J146" s="354"/>
      <c r="K146" s="354"/>
      <c r="L146" s="354"/>
      <c r="M146" s="354"/>
      <c r="N146" s="354"/>
      <c r="O146" s="354"/>
      <c r="P146" s="354"/>
      <c r="Q146" s="354"/>
      <c r="R146" s="354"/>
      <c r="S146" s="354"/>
      <c r="T146" s="354"/>
      <c r="U146" s="354"/>
      <c r="V146" s="354"/>
      <c r="W146" s="354"/>
      <c r="X146" s="354"/>
      <c r="Y146" s="925"/>
    </row>
    <row r="147" spans="1:25" ht="24" x14ac:dyDescent="0.55000000000000004">
      <c r="A147" s="68"/>
      <c r="B147" s="68"/>
      <c r="C147" s="68"/>
      <c r="D147" s="68"/>
      <c r="E147" s="68"/>
      <c r="F147" s="354"/>
      <c r="G147" s="354"/>
      <c r="H147" s="354"/>
      <c r="I147" s="354"/>
      <c r="J147" s="354"/>
      <c r="K147" s="354"/>
      <c r="L147" s="354"/>
      <c r="M147" s="354"/>
      <c r="N147" s="354"/>
      <c r="O147" s="354"/>
      <c r="P147" s="354"/>
      <c r="Q147" s="354"/>
      <c r="R147" s="354"/>
      <c r="S147" s="354"/>
      <c r="T147" s="354"/>
      <c r="U147" s="354"/>
      <c r="V147" s="354"/>
      <c r="W147" s="354"/>
      <c r="X147" s="354"/>
      <c r="Y147" s="925"/>
    </row>
    <row r="148" spans="1:25" ht="24" x14ac:dyDescent="0.55000000000000004">
      <c r="A148" s="68"/>
      <c r="B148" s="68"/>
      <c r="C148" s="68"/>
      <c r="D148" s="68"/>
      <c r="E148" s="68"/>
      <c r="F148" s="354"/>
      <c r="G148" s="354"/>
      <c r="H148" s="354"/>
      <c r="I148" s="354"/>
      <c r="J148" s="354"/>
      <c r="K148" s="354"/>
      <c r="L148" s="354"/>
      <c r="M148" s="354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925"/>
    </row>
    <row r="149" spans="1:25" ht="24" x14ac:dyDescent="0.55000000000000004">
      <c r="A149" s="68"/>
      <c r="B149" s="68"/>
      <c r="C149" s="68"/>
      <c r="D149" s="68"/>
      <c r="E149" s="68"/>
      <c r="F149" s="354"/>
      <c r="G149" s="354"/>
      <c r="H149" s="354"/>
      <c r="I149" s="354"/>
      <c r="J149" s="354"/>
      <c r="K149" s="354"/>
      <c r="L149" s="354"/>
      <c r="M149" s="354"/>
      <c r="N149" s="354"/>
      <c r="O149" s="354"/>
      <c r="P149" s="354"/>
      <c r="Q149" s="354"/>
      <c r="R149" s="354"/>
      <c r="S149" s="354"/>
      <c r="T149" s="354"/>
      <c r="U149" s="354"/>
      <c r="V149" s="354"/>
      <c r="W149" s="354"/>
      <c r="X149" s="354"/>
      <c r="Y149" s="925"/>
    </row>
    <row r="150" spans="1:25" ht="24" x14ac:dyDescent="0.55000000000000004">
      <c r="A150" s="68"/>
      <c r="B150" s="68"/>
      <c r="C150" s="68"/>
      <c r="D150" s="68"/>
      <c r="E150" s="68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4"/>
      <c r="R150" s="354"/>
      <c r="S150" s="354"/>
      <c r="T150" s="354"/>
      <c r="U150" s="354"/>
      <c r="V150" s="354"/>
      <c r="W150" s="354"/>
      <c r="X150" s="354"/>
      <c r="Y150" s="925"/>
    </row>
    <row r="151" spans="1:25" ht="24" x14ac:dyDescent="0.55000000000000004">
      <c r="A151" s="68"/>
      <c r="B151" s="68"/>
      <c r="C151" s="68"/>
      <c r="D151" s="68"/>
      <c r="E151" s="68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4"/>
      <c r="R151" s="354"/>
      <c r="S151" s="354"/>
      <c r="T151" s="354"/>
      <c r="U151" s="354"/>
      <c r="V151" s="354"/>
      <c r="W151" s="354"/>
      <c r="X151" s="354"/>
      <c r="Y151" s="925"/>
    </row>
    <row r="152" spans="1:25" ht="24" x14ac:dyDescent="0.55000000000000004">
      <c r="A152" s="68"/>
      <c r="B152" s="68"/>
      <c r="C152" s="68"/>
      <c r="D152" s="68"/>
      <c r="E152" s="68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4"/>
      <c r="R152" s="354"/>
      <c r="S152" s="354"/>
      <c r="T152" s="354"/>
      <c r="U152" s="354"/>
      <c r="V152" s="354"/>
      <c r="W152" s="354"/>
      <c r="X152" s="354"/>
      <c r="Y152" s="925"/>
    </row>
    <row r="153" spans="1:25" ht="24" x14ac:dyDescent="0.55000000000000004">
      <c r="A153" s="68"/>
      <c r="B153" s="68"/>
      <c r="C153" s="68"/>
      <c r="D153" s="68"/>
      <c r="E153" s="68"/>
      <c r="F153" s="354"/>
      <c r="G153" s="354"/>
      <c r="H153" s="354"/>
      <c r="I153" s="354"/>
      <c r="J153" s="354"/>
      <c r="K153" s="354"/>
      <c r="L153" s="354"/>
      <c r="M153" s="354"/>
      <c r="N153" s="354"/>
      <c r="O153" s="354"/>
      <c r="P153" s="354"/>
      <c r="Q153" s="354"/>
      <c r="R153" s="354"/>
      <c r="S153" s="354"/>
      <c r="T153" s="354"/>
      <c r="U153" s="354"/>
      <c r="V153" s="354"/>
      <c r="W153" s="354"/>
      <c r="X153" s="354"/>
      <c r="Y153" s="925"/>
    </row>
    <row r="154" spans="1:25" ht="24" x14ac:dyDescent="0.55000000000000004">
      <c r="A154" s="68"/>
      <c r="B154" s="68"/>
      <c r="C154" s="68"/>
      <c r="D154" s="68"/>
      <c r="E154" s="68"/>
      <c r="F154" s="354"/>
      <c r="G154" s="354"/>
      <c r="H154" s="354"/>
      <c r="I154" s="354"/>
      <c r="J154" s="354"/>
      <c r="K154" s="354"/>
      <c r="L154" s="354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925"/>
    </row>
    <row r="155" spans="1:25" ht="24" x14ac:dyDescent="0.55000000000000004">
      <c r="A155" s="68"/>
      <c r="B155" s="68"/>
      <c r="C155" s="68"/>
      <c r="D155" s="68"/>
      <c r="E155" s="68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925"/>
    </row>
    <row r="156" spans="1:25" ht="24" x14ac:dyDescent="0.55000000000000004">
      <c r="A156" s="68"/>
      <c r="B156" s="68"/>
      <c r="C156" s="68"/>
      <c r="D156" s="68"/>
      <c r="E156" s="68"/>
      <c r="F156" s="354"/>
      <c r="G156" s="354"/>
      <c r="H156" s="354"/>
      <c r="I156" s="354"/>
      <c r="J156" s="354"/>
      <c r="K156" s="354"/>
      <c r="L156" s="354"/>
      <c r="M156" s="354"/>
      <c r="N156" s="354"/>
      <c r="O156" s="354"/>
      <c r="P156" s="354"/>
      <c r="Q156" s="354"/>
      <c r="R156" s="354"/>
      <c r="S156" s="354"/>
      <c r="T156" s="354"/>
      <c r="U156" s="354"/>
      <c r="V156" s="354"/>
      <c r="W156" s="354"/>
      <c r="X156" s="354"/>
      <c r="Y156" s="925"/>
    </row>
    <row r="157" spans="1:25" ht="24" x14ac:dyDescent="0.55000000000000004">
      <c r="A157" s="68"/>
      <c r="B157" s="68"/>
      <c r="C157" s="68"/>
      <c r="D157" s="68"/>
      <c r="E157" s="68"/>
      <c r="F157" s="354"/>
      <c r="G157" s="354"/>
      <c r="H157" s="354"/>
      <c r="I157" s="354"/>
      <c r="J157" s="354"/>
      <c r="K157" s="354"/>
      <c r="L157" s="354"/>
      <c r="M157" s="354"/>
      <c r="N157" s="354"/>
      <c r="O157" s="354"/>
      <c r="P157" s="354"/>
      <c r="Q157" s="354"/>
      <c r="R157" s="354"/>
      <c r="S157" s="354"/>
      <c r="T157" s="354"/>
      <c r="U157" s="354"/>
      <c r="V157" s="354"/>
      <c r="W157" s="354"/>
      <c r="X157" s="354"/>
      <c r="Y157" s="925"/>
    </row>
    <row r="158" spans="1:25" ht="24" x14ac:dyDescent="0.55000000000000004">
      <c r="A158" s="68"/>
      <c r="B158" s="68"/>
      <c r="C158" s="68"/>
      <c r="D158" s="68"/>
      <c r="E158" s="68"/>
      <c r="F158" s="354"/>
      <c r="G158" s="354"/>
      <c r="H158" s="354"/>
      <c r="I158" s="354"/>
      <c r="J158" s="354"/>
      <c r="K158" s="354"/>
      <c r="L158" s="354"/>
      <c r="M158" s="354"/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925"/>
    </row>
    <row r="159" spans="1:25" ht="24" x14ac:dyDescent="0.55000000000000004">
      <c r="A159" s="68"/>
      <c r="B159" s="68"/>
      <c r="C159" s="68"/>
      <c r="D159" s="68"/>
      <c r="E159" s="68"/>
      <c r="F159" s="354"/>
      <c r="G159" s="354"/>
      <c r="H159" s="354"/>
      <c r="I159" s="354"/>
      <c r="J159" s="354"/>
      <c r="K159" s="354"/>
      <c r="L159" s="354"/>
      <c r="M159" s="354"/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925"/>
    </row>
    <row r="160" spans="1:25" ht="24" x14ac:dyDescent="0.55000000000000004">
      <c r="A160" s="68"/>
      <c r="B160" s="68"/>
      <c r="C160" s="68"/>
      <c r="D160" s="68"/>
      <c r="E160" s="68"/>
      <c r="F160" s="354"/>
      <c r="G160" s="354"/>
      <c r="H160" s="354"/>
      <c r="I160" s="354"/>
      <c r="J160" s="354"/>
      <c r="K160" s="354"/>
      <c r="L160" s="354"/>
      <c r="M160" s="354"/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925"/>
    </row>
    <row r="161" spans="1:25" ht="24" x14ac:dyDescent="0.55000000000000004">
      <c r="A161" s="68"/>
      <c r="B161" s="68"/>
      <c r="C161" s="68"/>
      <c r="D161" s="68"/>
      <c r="E161" s="68"/>
      <c r="F161" s="354"/>
      <c r="G161" s="354"/>
      <c r="H161" s="354"/>
      <c r="I161" s="354"/>
      <c r="J161" s="354"/>
      <c r="K161" s="354"/>
      <c r="L161" s="354"/>
      <c r="M161" s="354"/>
      <c r="N161" s="354"/>
      <c r="O161" s="354"/>
      <c r="P161" s="354"/>
      <c r="Q161" s="354"/>
      <c r="R161" s="354"/>
      <c r="S161" s="354"/>
      <c r="T161" s="354"/>
      <c r="U161" s="354"/>
      <c r="V161" s="354"/>
      <c r="W161" s="354"/>
      <c r="X161" s="354"/>
      <c r="Y161" s="925"/>
    </row>
    <row r="162" spans="1:25" ht="24" x14ac:dyDescent="0.55000000000000004">
      <c r="A162" s="68"/>
      <c r="B162" s="68"/>
      <c r="C162" s="68"/>
      <c r="D162" s="68"/>
      <c r="E162" s="68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4"/>
      <c r="R162" s="354"/>
      <c r="S162" s="354"/>
      <c r="T162" s="354"/>
      <c r="U162" s="354"/>
      <c r="V162" s="354"/>
      <c r="W162" s="354"/>
      <c r="X162" s="354"/>
      <c r="Y162" s="925"/>
    </row>
    <row r="163" spans="1:25" ht="24" x14ac:dyDescent="0.55000000000000004">
      <c r="A163" s="68"/>
      <c r="B163" s="68"/>
      <c r="C163" s="68"/>
      <c r="D163" s="68"/>
      <c r="E163" s="68"/>
      <c r="F163" s="354"/>
      <c r="G163" s="354"/>
      <c r="H163" s="354"/>
      <c r="I163" s="354"/>
      <c r="J163" s="354"/>
      <c r="K163" s="354"/>
      <c r="L163" s="354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925"/>
    </row>
    <row r="164" spans="1:25" ht="24" x14ac:dyDescent="0.55000000000000004">
      <c r="A164" s="68"/>
      <c r="B164" s="68"/>
      <c r="C164" s="68"/>
      <c r="D164" s="68"/>
      <c r="E164" s="68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4"/>
      <c r="R164" s="354"/>
      <c r="S164" s="354"/>
      <c r="T164" s="354"/>
      <c r="U164" s="354"/>
      <c r="V164" s="354"/>
      <c r="W164" s="354"/>
      <c r="X164" s="354"/>
      <c r="Y164" s="925"/>
    </row>
    <row r="165" spans="1:25" ht="24" x14ac:dyDescent="0.55000000000000004">
      <c r="A165" s="68"/>
      <c r="B165" s="68"/>
      <c r="C165" s="68"/>
      <c r="D165" s="68"/>
      <c r="E165" s="68"/>
      <c r="F165" s="354"/>
      <c r="G165" s="354"/>
      <c r="H165" s="354"/>
      <c r="I165" s="354"/>
      <c r="J165" s="354"/>
      <c r="K165" s="354"/>
      <c r="L165" s="354"/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925"/>
    </row>
    <row r="166" spans="1:25" ht="24" x14ac:dyDescent="0.55000000000000004">
      <c r="A166" s="68"/>
      <c r="B166" s="68"/>
      <c r="C166" s="68"/>
      <c r="D166" s="68"/>
      <c r="E166" s="68"/>
      <c r="F166" s="354"/>
      <c r="G166" s="354"/>
      <c r="H166" s="354"/>
      <c r="I166" s="354"/>
      <c r="J166" s="354"/>
      <c r="K166" s="354"/>
      <c r="L166" s="354"/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925"/>
    </row>
    <row r="167" spans="1:25" ht="24" x14ac:dyDescent="0.55000000000000004">
      <c r="A167" s="68"/>
      <c r="B167" s="68"/>
      <c r="C167" s="68"/>
      <c r="D167" s="68"/>
      <c r="E167" s="68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4"/>
      <c r="R167" s="354"/>
      <c r="S167" s="354"/>
      <c r="T167" s="354"/>
      <c r="U167" s="354"/>
      <c r="V167" s="354"/>
      <c r="W167" s="354"/>
      <c r="X167" s="354"/>
      <c r="Y167" s="925"/>
    </row>
    <row r="168" spans="1:25" ht="24" x14ac:dyDescent="0.55000000000000004">
      <c r="A168" s="68"/>
      <c r="B168" s="68"/>
      <c r="C168" s="68"/>
      <c r="D168" s="68"/>
      <c r="E168" s="68"/>
      <c r="F168" s="354"/>
      <c r="G168" s="354"/>
      <c r="H168" s="354"/>
      <c r="I168" s="354"/>
      <c r="J168" s="354"/>
      <c r="K168" s="354"/>
      <c r="L168" s="354"/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4"/>
      <c r="Y168" s="925"/>
    </row>
    <row r="169" spans="1:25" ht="24" x14ac:dyDescent="0.55000000000000004">
      <c r="A169" s="68"/>
      <c r="B169" s="68"/>
      <c r="C169" s="68"/>
      <c r="D169" s="68"/>
      <c r="E169" s="68"/>
      <c r="F169" s="354"/>
      <c r="G169" s="354"/>
      <c r="H169" s="354"/>
      <c r="I169" s="354"/>
      <c r="J169" s="354"/>
      <c r="K169" s="354"/>
      <c r="L169" s="354"/>
      <c r="M169" s="354"/>
      <c r="N169" s="354"/>
      <c r="O169" s="354"/>
      <c r="P169" s="354"/>
      <c r="Q169" s="354"/>
      <c r="R169" s="354"/>
      <c r="S169" s="354"/>
      <c r="T169" s="354"/>
      <c r="U169" s="354"/>
      <c r="V169" s="354"/>
      <c r="W169" s="354"/>
      <c r="X169" s="354"/>
      <c r="Y169" s="925"/>
    </row>
    <row r="170" spans="1:25" ht="24" x14ac:dyDescent="0.55000000000000004">
      <c r="A170" s="68"/>
      <c r="B170" s="68"/>
      <c r="C170" s="68"/>
      <c r="D170" s="68"/>
      <c r="E170" s="68"/>
      <c r="F170" s="354"/>
      <c r="G170" s="354"/>
      <c r="H170" s="354"/>
      <c r="I170" s="354"/>
      <c r="J170" s="354"/>
      <c r="K170" s="354"/>
      <c r="L170" s="354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925"/>
    </row>
    <row r="171" spans="1:25" ht="24" x14ac:dyDescent="0.55000000000000004">
      <c r="A171" s="68"/>
      <c r="B171" s="68"/>
      <c r="C171" s="68"/>
      <c r="D171" s="68"/>
      <c r="E171" s="68"/>
      <c r="F171" s="354"/>
      <c r="G171" s="354"/>
      <c r="H171" s="354"/>
      <c r="I171" s="354"/>
      <c r="J171" s="354"/>
      <c r="K171" s="354"/>
      <c r="L171" s="354"/>
      <c r="M171" s="354"/>
      <c r="N171" s="354"/>
      <c r="O171" s="354"/>
      <c r="P171" s="354"/>
      <c r="Q171" s="354"/>
      <c r="R171" s="354"/>
      <c r="S171" s="354"/>
      <c r="T171" s="354"/>
      <c r="U171" s="354"/>
      <c r="V171" s="354"/>
      <c r="W171" s="354"/>
      <c r="X171" s="354"/>
      <c r="Y171" s="925"/>
    </row>
    <row r="172" spans="1:25" ht="24" x14ac:dyDescent="0.55000000000000004">
      <c r="A172" s="68"/>
      <c r="B172" s="68"/>
      <c r="C172" s="68"/>
      <c r="D172" s="68"/>
      <c r="E172" s="68"/>
      <c r="F172" s="354"/>
      <c r="G172" s="354"/>
      <c r="H172" s="354"/>
      <c r="I172" s="354"/>
      <c r="J172" s="354"/>
      <c r="K172" s="354"/>
      <c r="L172" s="354"/>
      <c r="M172" s="354"/>
      <c r="N172" s="354"/>
      <c r="O172" s="354"/>
      <c r="P172" s="354"/>
      <c r="Q172" s="354"/>
      <c r="R172" s="354"/>
      <c r="S172" s="354"/>
      <c r="T172" s="354"/>
      <c r="U172" s="354"/>
      <c r="V172" s="354"/>
      <c r="W172" s="354"/>
      <c r="X172" s="354"/>
      <c r="Y172" s="925"/>
    </row>
    <row r="173" spans="1:25" ht="24" x14ac:dyDescent="0.55000000000000004">
      <c r="A173" s="68"/>
      <c r="B173" s="68"/>
      <c r="C173" s="68"/>
      <c r="D173" s="68"/>
      <c r="E173" s="68"/>
      <c r="F173" s="354"/>
      <c r="G173" s="354"/>
      <c r="H173" s="354"/>
      <c r="I173" s="354"/>
      <c r="J173" s="354"/>
      <c r="K173" s="354"/>
      <c r="L173" s="354"/>
      <c r="M173" s="354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925"/>
    </row>
    <row r="174" spans="1:25" ht="24" x14ac:dyDescent="0.55000000000000004">
      <c r="A174" s="68"/>
      <c r="B174" s="68"/>
      <c r="C174" s="68"/>
      <c r="D174" s="68"/>
      <c r="E174" s="68"/>
      <c r="F174" s="354"/>
      <c r="G174" s="354"/>
      <c r="H174" s="354"/>
      <c r="I174" s="354"/>
      <c r="J174" s="354"/>
      <c r="K174" s="354"/>
      <c r="L174" s="354"/>
      <c r="M174" s="354"/>
      <c r="N174" s="354"/>
      <c r="O174" s="354"/>
      <c r="P174" s="354"/>
      <c r="Q174" s="354"/>
      <c r="R174" s="354"/>
      <c r="S174" s="354"/>
      <c r="T174" s="354"/>
      <c r="U174" s="354"/>
      <c r="V174" s="354"/>
      <c r="W174" s="354"/>
      <c r="X174" s="354"/>
      <c r="Y174" s="925"/>
    </row>
    <row r="175" spans="1:25" ht="24" x14ac:dyDescent="0.55000000000000004">
      <c r="A175" s="68"/>
      <c r="B175" s="68"/>
      <c r="C175" s="68"/>
      <c r="D175" s="68"/>
      <c r="E175" s="68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925"/>
    </row>
    <row r="176" spans="1:25" ht="24" x14ac:dyDescent="0.55000000000000004">
      <c r="A176" s="68"/>
      <c r="B176" s="68"/>
      <c r="C176" s="68"/>
      <c r="D176" s="68"/>
      <c r="E176" s="68"/>
      <c r="F176" s="354"/>
      <c r="G176" s="354"/>
      <c r="H176" s="354"/>
      <c r="I176" s="354"/>
      <c r="J176" s="354"/>
      <c r="K176" s="354"/>
      <c r="L176" s="354"/>
      <c r="M176" s="354"/>
      <c r="N176" s="354"/>
      <c r="O176" s="354"/>
      <c r="P176" s="354"/>
      <c r="Q176" s="354"/>
      <c r="R176" s="354"/>
      <c r="S176" s="354"/>
      <c r="T176" s="354"/>
      <c r="U176" s="354"/>
      <c r="V176" s="354"/>
      <c r="W176" s="354"/>
      <c r="X176" s="354"/>
      <c r="Y176" s="925"/>
    </row>
    <row r="177" spans="1:25" ht="24" x14ac:dyDescent="0.55000000000000004">
      <c r="A177" s="68"/>
      <c r="B177" s="68"/>
      <c r="C177" s="68"/>
      <c r="D177" s="68"/>
      <c r="E177" s="68"/>
      <c r="F177" s="354"/>
      <c r="G177" s="354"/>
      <c r="H177" s="354"/>
      <c r="I177" s="354"/>
      <c r="J177" s="354"/>
      <c r="K177" s="354"/>
      <c r="L177" s="354"/>
      <c r="M177" s="354"/>
      <c r="N177" s="354"/>
      <c r="O177" s="354"/>
      <c r="P177" s="354"/>
      <c r="Q177" s="354"/>
      <c r="R177" s="354"/>
      <c r="S177" s="354"/>
      <c r="T177" s="354"/>
      <c r="U177" s="354"/>
      <c r="V177" s="354"/>
      <c r="W177" s="354"/>
      <c r="X177" s="354"/>
      <c r="Y177" s="925"/>
    </row>
    <row r="178" spans="1:25" ht="24" x14ac:dyDescent="0.55000000000000004">
      <c r="A178" s="68"/>
      <c r="B178" s="68"/>
      <c r="C178" s="68"/>
      <c r="D178" s="68"/>
      <c r="E178" s="68"/>
      <c r="F178" s="354"/>
      <c r="G178" s="354"/>
      <c r="H178" s="354"/>
      <c r="I178" s="354"/>
      <c r="J178" s="354"/>
      <c r="K178" s="354"/>
      <c r="L178" s="354"/>
      <c r="M178" s="354"/>
      <c r="N178" s="354"/>
      <c r="O178" s="354"/>
      <c r="P178" s="354"/>
      <c r="Q178" s="354"/>
      <c r="R178" s="354"/>
      <c r="S178" s="354"/>
      <c r="T178" s="354"/>
      <c r="U178" s="354"/>
      <c r="V178" s="354"/>
      <c r="W178" s="354"/>
      <c r="X178" s="354"/>
      <c r="Y178" s="925"/>
    </row>
    <row r="179" spans="1:25" ht="24" x14ac:dyDescent="0.55000000000000004">
      <c r="A179" s="68"/>
      <c r="B179" s="68"/>
      <c r="C179" s="68"/>
      <c r="D179" s="68"/>
      <c r="E179" s="68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4"/>
      <c r="R179" s="354"/>
      <c r="S179" s="354"/>
      <c r="T179" s="354"/>
      <c r="U179" s="354"/>
      <c r="V179" s="354"/>
      <c r="W179" s="354"/>
      <c r="X179" s="354"/>
      <c r="Y179" s="925"/>
    </row>
    <row r="180" spans="1:25" ht="24" x14ac:dyDescent="0.55000000000000004">
      <c r="A180" s="68"/>
      <c r="B180" s="68"/>
      <c r="C180" s="68"/>
      <c r="D180" s="68"/>
      <c r="E180" s="68"/>
      <c r="F180" s="354"/>
      <c r="G180" s="354"/>
      <c r="H180" s="354"/>
      <c r="I180" s="354"/>
      <c r="J180" s="354"/>
      <c r="K180" s="354"/>
      <c r="L180" s="354"/>
      <c r="M180" s="354"/>
      <c r="N180" s="354"/>
      <c r="O180" s="354"/>
      <c r="P180" s="354"/>
      <c r="Q180" s="354"/>
      <c r="R180" s="354"/>
      <c r="S180" s="354"/>
      <c r="T180" s="354"/>
      <c r="U180" s="354"/>
      <c r="V180" s="354"/>
      <c r="W180" s="354"/>
      <c r="X180" s="354"/>
      <c r="Y180" s="925"/>
    </row>
    <row r="181" spans="1:25" ht="24" x14ac:dyDescent="0.55000000000000004">
      <c r="A181" s="68"/>
      <c r="B181" s="68"/>
      <c r="C181" s="68"/>
      <c r="D181" s="68"/>
      <c r="E181" s="68"/>
      <c r="F181" s="354"/>
      <c r="G181" s="354"/>
      <c r="H181" s="354"/>
      <c r="I181" s="354"/>
      <c r="J181" s="354"/>
      <c r="K181" s="354"/>
      <c r="L181" s="354"/>
      <c r="M181" s="354"/>
      <c r="N181" s="354"/>
      <c r="O181" s="354"/>
      <c r="P181" s="354"/>
      <c r="Q181" s="354"/>
      <c r="R181" s="354"/>
      <c r="S181" s="354"/>
      <c r="T181" s="354"/>
      <c r="U181" s="354"/>
      <c r="V181" s="354"/>
      <c r="W181" s="354"/>
      <c r="X181" s="354"/>
      <c r="Y181" s="925"/>
    </row>
    <row r="182" spans="1:25" ht="24" x14ac:dyDescent="0.55000000000000004">
      <c r="A182" s="68"/>
      <c r="B182" s="68"/>
      <c r="C182" s="68"/>
      <c r="D182" s="68"/>
      <c r="E182" s="68"/>
      <c r="F182" s="354"/>
      <c r="G182" s="354"/>
      <c r="H182" s="354"/>
      <c r="I182" s="354"/>
      <c r="J182" s="354"/>
      <c r="K182" s="354"/>
      <c r="L182" s="354"/>
      <c r="M182" s="354"/>
      <c r="N182" s="354"/>
      <c r="O182" s="354"/>
      <c r="P182" s="354"/>
      <c r="Q182" s="354"/>
      <c r="R182" s="354"/>
      <c r="S182" s="354"/>
      <c r="T182" s="354"/>
      <c r="U182" s="354"/>
      <c r="V182" s="354"/>
      <c r="W182" s="354"/>
      <c r="X182" s="354"/>
      <c r="Y182" s="925"/>
    </row>
    <row r="183" spans="1:25" ht="24" x14ac:dyDescent="0.55000000000000004">
      <c r="A183" s="68"/>
      <c r="B183" s="68"/>
      <c r="C183" s="68"/>
      <c r="D183" s="68"/>
      <c r="E183" s="68"/>
      <c r="F183" s="354"/>
      <c r="G183" s="354"/>
      <c r="H183" s="354"/>
      <c r="I183" s="354"/>
      <c r="J183" s="354"/>
      <c r="K183" s="354"/>
      <c r="L183" s="354"/>
      <c r="M183" s="354"/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925"/>
    </row>
    <row r="184" spans="1:25" ht="24" x14ac:dyDescent="0.55000000000000004">
      <c r="A184" s="68"/>
      <c r="B184" s="68"/>
      <c r="C184" s="68"/>
      <c r="D184" s="68"/>
      <c r="E184" s="68"/>
      <c r="F184" s="354"/>
      <c r="G184" s="354"/>
      <c r="H184" s="354"/>
      <c r="I184" s="354"/>
      <c r="J184" s="354"/>
      <c r="K184" s="354"/>
      <c r="L184" s="354"/>
      <c r="M184" s="354"/>
      <c r="N184" s="354"/>
      <c r="O184" s="354"/>
      <c r="P184" s="354"/>
      <c r="Q184" s="354"/>
      <c r="R184" s="354"/>
      <c r="S184" s="354"/>
      <c r="T184" s="354"/>
      <c r="U184" s="354"/>
      <c r="V184" s="354"/>
      <c r="W184" s="354"/>
      <c r="X184" s="354"/>
      <c r="Y184" s="925"/>
    </row>
    <row r="185" spans="1:25" ht="24" x14ac:dyDescent="0.55000000000000004">
      <c r="A185" s="68"/>
      <c r="B185" s="68"/>
      <c r="C185" s="68"/>
      <c r="D185" s="68"/>
      <c r="E185" s="68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4"/>
      <c r="R185" s="354"/>
      <c r="S185" s="354"/>
      <c r="T185" s="354"/>
      <c r="U185" s="354"/>
      <c r="V185" s="354"/>
      <c r="W185" s="354"/>
      <c r="X185" s="354"/>
      <c r="Y185" s="925"/>
    </row>
    <row r="186" spans="1:25" ht="24" x14ac:dyDescent="0.55000000000000004">
      <c r="A186" s="68"/>
      <c r="B186" s="68"/>
      <c r="C186" s="68"/>
      <c r="D186" s="68"/>
      <c r="E186" s="68"/>
      <c r="F186" s="354"/>
      <c r="G186" s="354"/>
      <c r="H186" s="354"/>
      <c r="I186" s="354"/>
      <c r="J186" s="354"/>
      <c r="K186" s="354"/>
      <c r="L186" s="354"/>
      <c r="M186" s="354"/>
      <c r="N186" s="354"/>
      <c r="O186" s="354"/>
      <c r="P186" s="354"/>
      <c r="Q186" s="354"/>
      <c r="R186" s="354"/>
      <c r="S186" s="354"/>
      <c r="T186" s="354"/>
      <c r="U186" s="354"/>
      <c r="V186" s="354"/>
      <c r="W186" s="354"/>
      <c r="X186" s="354"/>
      <c r="Y186" s="925"/>
    </row>
    <row r="187" spans="1:25" ht="24" x14ac:dyDescent="0.55000000000000004">
      <c r="A187" s="68"/>
      <c r="B187" s="68"/>
      <c r="C187" s="68"/>
      <c r="D187" s="68"/>
      <c r="E187" s="68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4"/>
      <c r="R187" s="354"/>
      <c r="S187" s="354"/>
      <c r="T187" s="354"/>
      <c r="U187" s="354"/>
      <c r="V187" s="354"/>
      <c r="W187" s="354"/>
      <c r="X187" s="354"/>
      <c r="Y187" s="925"/>
    </row>
    <row r="188" spans="1:25" ht="24" x14ac:dyDescent="0.55000000000000004">
      <c r="A188" s="68"/>
      <c r="B188" s="68"/>
      <c r="C188" s="68"/>
      <c r="D188" s="68"/>
      <c r="E188" s="68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4"/>
      <c r="R188" s="354"/>
      <c r="S188" s="354"/>
      <c r="T188" s="354"/>
      <c r="U188" s="354"/>
      <c r="V188" s="354"/>
      <c r="W188" s="354"/>
      <c r="X188" s="354"/>
      <c r="Y188" s="925"/>
    </row>
    <row r="189" spans="1:25" ht="24" x14ac:dyDescent="0.55000000000000004">
      <c r="A189" s="68"/>
      <c r="B189" s="68"/>
      <c r="C189" s="68"/>
      <c r="D189" s="68"/>
      <c r="E189" s="68"/>
      <c r="F189" s="354"/>
      <c r="G189" s="354"/>
      <c r="H189" s="354"/>
      <c r="I189" s="354"/>
      <c r="J189" s="354"/>
      <c r="K189" s="354"/>
      <c r="L189" s="354"/>
      <c r="M189" s="354"/>
      <c r="N189" s="354"/>
      <c r="O189" s="354"/>
      <c r="P189" s="354"/>
      <c r="Q189" s="354"/>
      <c r="R189" s="354"/>
      <c r="S189" s="354"/>
      <c r="T189" s="354"/>
      <c r="U189" s="354"/>
      <c r="V189" s="354"/>
      <c r="W189" s="354"/>
      <c r="X189" s="354"/>
      <c r="Y189" s="925"/>
    </row>
    <row r="190" spans="1:25" ht="24" x14ac:dyDescent="0.55000000000000004">
      <c r="A190" s="68"/>
      <c r="B190" s="68"/>
      <c r="C190" s="68"/>
      <c r="D190" s="68"/>
      <c r="E190" s="68"/>
      <c r="F190" s="354"/>
      <c r="G190" s="354"/>
      <c r="H190" s="354"/>
      <c r="I190" s="354"/>
      <c r="J190" s="354"/>
      <c r="K190" s="354"/>
      <c r="L190" s="354"/>
      <c r="M190" s="354"/>
      <c r="N190" s="354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925"/>
    </row>
    <row r="191" spans="1:25" ht="24" x14ac:dyDescent="0.55000000000000004">
      <c r="A191" s="68"/>
      <c r="B191" s="68"/>
      <c r="C191" s="68"/>
      <c r="D191" s="68"/>
      <c r="E191" s="68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4"/>
      <c r="R191" s="354"/>
      <c r="S191" s="354"/>
      <c r="T191" s="354"/>
      <c r="U191" s="354"/>
      <c r="V191" s="354"/>
      <c r="W191" s="354"/>
      <c r="X191" s="354"/>
      <c r="Y191" s="925"/>
    </row>
    <row r="192" spans="1:25" ht="24" x14ac:dyDescent="0.55000000000000004">
      <c r="A192" s="68"/>
      <c r="B192" s="68"/>
      <c r="C192" s="68"/>
      <c r="D192" s="68"/>
      <c r="E192" s="68"/>
      <c r="F192" s="354"/>
      <c r="G192" s="354"/>
      <c r="H192" s="354"/>
      <c r="I192" s="354"/>
      <c r="J192" s="354"/>
      <c r="K192" s="354"/>
      <c r="L192" s="354"/>
      <c r="M192" s="354"/>
      <c r="N192" s="354"/>
      <c r="O192" s="354"/>
      <c r="P192" s="354"/>
      <c r="Q192" s="354"/>
      <c r="R192" s="354"/>
      <c r="S192" s="354"/>
      <c r="T192" s="354"/>
      <c r="U192" s="354"/>
      <c r="V192" s="354"/>
      <c r="W192" s="354"/>
      <c r="X192" s="354"/>
      <c r="Y192" s="925"/>
    </row>
    <row r="193" spans="1:25" ht="24" x14ac:dyDescent="0.55000000000000004">
      <c r="A193" s="68"/>
      <c r="B193" s="68"/>
      <c r="C193" s="68"/>
      <c r="D193" s="68"/>
      <c r="E193" s="68"/>
      <c r="F193" s="354"/>
      <c r="G193" s="354"/>
      <c r="H193" s="354"/>
      <c r="I193" s="354"/>
      <c r="J193" s="354"/>
      <c r="K193" s="354"/>
      <c r="L193" s="354"/>
      <c r="M193" s="354"/>
      <c r="N193" s="354"/>
      <c r="O193" s="354"/>
      <c r="P193" s="354"/>
      <c r="Q193" s="354"/>
      <c r="R193" s="354"/>
      <c r="S193" s="354"/>
      <c r="T193" s="354"/>
      <c r="U193" s="354"/>
      <c r="V193" s="354"/>
      <c r="W193" s="354"/>
      <c r="X193" s="354"/>
      <c r="Y193" s="925"/>
    </row>
    <row r="194" spans="1:25" ht="24" x14ac:dyDescent="0.55000000000000004">
      <c r="A194" s="68"/>
      <c r="B194" s="68"/>
      <c r="C194" s="68"/>
      <c r="D194" s="68"/>
      <c r="E194" s="68"/>
      <c r="F194" s="354"/>
      <c r="G194" s="354"/>
      <c r="H194" s="354"/>
      <c r="I194" s="354"/>
      <c r="J194" s="354"/>
      <c r="K194" s="354"/>
      <c r="L194" s="354"/>
      <c r="M194" s="354"/>
      <c r="N194" s="354"/>
      <c r="O194" s="354"/>
      <c r="P194" s="354"/>
      <c r="Q194" s="354"/>
      <c r="R194" s="354"/>
      <c r="S194" s="354"/>
      <c r="T194" s="354"/>
      <c r="U194" s="354"/>
      <c r="V194" s="354"/>
      <c r="W194" s="354"/>
      <c r="X194" s="354"/>
      <c r="Y194" s="925"/>
    </row>
    <row r="195" spans="1:25" ht="24" x14ac:dyDescent="0.55000000000000004">
      <c r="A195" s="68"/>
      <c r="B195" s="68"/>
      <c r="C195" s="68"/>
      <c r="D195" s="68"/>
      <c r="E195" s="68"/>
      <c r="F195" s="354"/>
      <c r="G195" s="354"/>
      <c r="H195" s="354"/>
      <c r="I195" s="354"/>
      <c r="J195" s="354"/>
      <c r="K195" s="354"/>
      <c r="L195" s="354"/>
      <c r="M195" s="354"/>
      <c r="N195" s="354"/>
      <c r="O195" s="354"/>
      <c r="P195" s="354"/>
      <c r="Q195" s="354"/>
      <c r="R195" s="354"/>
      <c r="S195" s="354"/>
      <c r="T195" s="354"/>
      <c r="U195" s="354"/>
      <c r="V195" s="354"/>
      <c r="W195" s="354"/>
      <c r="X195" s="354"/>
      <c r="Y195" s="925"/>
    </row>
    <row r="196" spans="1:25" ht="24" x14ac:dyDescent="0.55000000000000004">
      <c r="A196" s="68"/>
      <c r="B196" s="68"/>
      <c r="C196" s="68"/>
      <c r="D196" s="68"/>
      <c r="E196" s="68"/>
      <c r="F196" s="354"/>
      <c r="G196" s="354"/>
      <c r="H196" s="354"/>
      <c r="I196" s="354"/>
      <c r="J196" s="354"/>
      <c r="K196" s="354"/>
      <c r="L196" s="354"/>
      <c r="M196" s="354"/>
      <c r="N196" s="354"/>
      <c r="O196" s="354"/>
      <c r="P196" s="354"/>
      <c r="Q196" s="354"/>
      <c r="R196" s="354"/>
      <c r="S196" s="354"/>
      <c r="T196" s="354"/>
      <c r="U196" s="354"/>
      <c r="V196" s="354"/>
      <c r="W196" s="354"/>
      <c r="X196" s="354"/>
      <c r="Y196" s="925"/>
    </row>
    <row r="197" spans="1:25" ht="24" x14ac:dyDescent="0.55000000000000004">
      <c r="A197" s="68"/>
      <c r="B197" s="68"/>
      <c r="C197" s="68"/>
      <c r="D197" s="68"/>
      <c r="E197" s="68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4"/>
      <c r="R197" s="354"/>
      <c r="S197" s="354"/>
      <c r="T197" s="354"/>
      <c r="U197" s="354"/>
      <c r="V197" s="354"/>
      <c r="W197" s="354"/>
      <c r="X197" s="354"/>
      <c r="Y197" s="925"/>
    </row>
    <row r="198" spans="1:25" ht="24" x14ac:dyDescent="0.55000000000000004">
      <c r="A198" s="68"/>
      <c r="B198" s="68"/>
      <c r="C198" s="68"/>
      <c r="D198" s="68"/>
      <c r="E198" s="68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4"/>
      <c r="R198" s="354"/>
      <c r="S198" s="354"/>
      <c r="T198" s="354"/>
      <c r="U198" s="354"/>
      <c r="V198" s="354"/>
      <c r="W198" s="354"/>
      <c r="X198" s="354"/>
      <c r="Y198" s="925"/>
    </row>
    <row r="199" spans="1:25" ht="24" x14ac:dyDescent="0.55000000000000004">
      <c r="A199" s="68"/>
      <c r="B199" s="68"/>
      <c r="C199" s="68"/>
      <c r="D199" s="68"/>
      <c r="E199" s="68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925"/>
    </row>
    <row r="200" spans="1:25" ht="24" x14ac:dyDescent="0.55000000000000004">
      <c r="A200" s="68"/>
      <c r="B200" s="68"/>
      <c r="C200" s="68"/>
      <c r="D200" s="68"/>
      <c r="E200" s="68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4"/>
      <c r="R200" s="354"/>
      <c r="S200" s="354"/>
      <c r="T200" s="354"/>
      <c r="U200" s="354"/>
      <c r="V200" s="354"/>
      <c r="W200" s="354"/>
      <c r="X200" s="354"/>
      <c r="Y200" s="925"/>
    </row>
    <row r="201" spans="1:25" ht="24" x14ac:dyDescent="0.55000000000000004">
      <c r="A201" s="68"/>
      <c r="B201" s="68"/>
      <c r="C201" s="68"/>
      <c r="D201" s="68"/>
      <c r="E201" s="68"/>
      <c r="F201" s="354"/>
      <c r="G201" s="354"/>
      <c r="H201" s="354"/>
      <c r="I201" s="354"/>
      <c r="J201" s="354"/>
      <c r="K201" s="354"/>
      <c r="L201" s="354"/>
      <c r="M201" s="354"/>
      <c r="N201" s="354"/>
      <c r="O201" s="354"/>
      <c r="P201" s="354"/>
      <c r="Q201" s="354"/>
      <c r="R201" s="354"/>
      <c r="S201" s="354"/>
      <c r="T201" s="354"/>
      <c r="U201" s="354"/>
      <c r="V201" s="354"/>
      <c r="W201" s="354"/>
      <c r="X201" s="354"/>
      <c r="Y201" s="925"/>
    </row>
    <row r="202" spans="1:25" ht="24" x14ac:dyDescent="0.55000000000000004">
      <c r="A202" s="68"/>
      <c r="B202" s="68"/>
      <c r="C202" s="68"/>
      <c r="D202" s="68"/>
      <c r="E202" s="68"/>
      <c r="F202" s="354"/>
      <c r="G202" s="354"/>
      <c r="H202" s="354"/>
      <c r="I202" s="354"/>
      <c r="J202" s="354"/>
      <c r="K202" s="354"/>
      <c r="L202" s="354"/>
      <c r="M202" s="354"/>
      <c r="N202" s="354"/>
      <c r="O202" s="354"/>
      <c r="P202" s="354"/>
      <c r="Q202" s="354"/>
      <c r="R202" s="354"/>
      <c r="S202" s="354"/>
      <c r="T202" s="354"/>
      <c r="U202" s="354"/>
      <c r="V202" s="354"/>
      <c r="W202" s="354"/>
      <c r="X202" s="354"/>
      <c r="Y202" s="925"/>
    </row>
    <row r="203" spans="1:25" ht="24" x14ac:dyDescent="0.55000000000000004">
      <c r="A203" s="68"/>
      <c r="B203" s="68"/>
      <c r="C203" s="68"/>
      <c r="D203" s="68"/>
      <c r="E203" s="68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4"/>
      <c r="R203" s="354"/>
      <c r="S203" s="354"/>
      <c r="T203" s="354"/>
      <c r="U203" s="354"/>
      <c r="V203" s="354"/>
      <c r="W203" s="354"/>
      <c r="X203" s="354"/>
      <c r="Y203" s="925"/>
    </row>
    <row r="204" spans="1:25" ht="24" x14ac:dyDescent="0.55000000000000004">
      <c r="A204" s="68"/>
      <c r="B204" s="68"/>
      <c r="C204" s="68"/>
      <c r="D204" s="68"/>
      <c r="E204" s="68"/>
      <c r="F204" s="354"/>
      <c r="G204" s="354"/>
      <c r="H204" s="354"/>
      <c r="I204" s="354"/>
      <c r="J204" s="354"/>
      <c r="K204" s="354"/>
      <c r="L204" s="354"/>
      <c r="M204" s="354"/>
      <c r="N204" s="354"/>
      <c r="O204" s="354"/>
      <c r="P204" s="354"/>
      <c r="Q204" s="354"/>
      <c r="R204" s="354"/>
      <c r="S204" s="354"/>
      <c r="T204" s="354"/>
      <c r="U204" s="354"/>
      <c r="V204" s="354"/>
      <c r="W204" s="354"/>
      <c r="X204" s="354"/>
      <c r="Y204" s="925"/>
    </row>
    <row r="205" spans="1:25" ht="24" x14ac:dyDescent="0.55000000000000004">
      <c r="A205" s="68"/>
      <c r="B205" s="68"/>
      <c r="C205" s="68"/>
      <c r="D205" s="68"/>
      <c r="E205" s="68"/>
      <c r="F205" s="354"/>
      <c r="G205" s="354"/>
      <c r="H205" s="354"/>
      <c r="I205" s="354"/>
      <c r="J205" s="354"/>
      <c r="K205" s="354"/>
      <c r="L205" s="354"/>
      <c r="M205" s="354"/>
      <c r="N205" s="354"/>
      <c r="O205" s="354"/>
      <c r="P205" s="354"/>
      <c r="Q205" s="354"/>
      <c r="R205" s="354"/>
      <c r="S205" s="354"/>
      <c r="T205" s="354"/>
      <c r="U205" s="354"/>
      <c r="V205" s="354"/>
      <c r="W205" s="354"/>
      <c r="X205" s="354"/>
      <c r="Y205" s="925"/>
    </row>
    <row r="206" spans="1:25" ht="24" x14ac:dyDescent="0.55000000000000004">
      <c r="A206" s="68"/>
      <c r="B206" s="68"/>
      <c r="C206" s="68"/>
      <c r="D206" s="68"/>
      <c r="E206" s="68"/>
      <c r="F206" s="354"/>
      <c r="G206" s="354"/>
      <c r="H206" s="354"/>
      <c r="I206" s="354"/>
      <c r="J206" s="354"/>
      <c r="K206" s="354"/>
      <c r="L206" s="354"/>
      <c r="M206" s="354"/>
      <c r="N206" s="354"/>
      <c r="O206" s="354"/>
      <c r="P206" s="354"/>
      <c r="Q206" s="354"/>
      <c r="R206" s="354"/>
      <c r="S206" s="354"/>
      <c r="T206" s="354"/>
      <c r="U206" s="354"/>
      <c r="V206" s="354"/>
      <c r="W206" s="354"/>
      <c r="X206" s="354"/>
      <c r="Y206" s="925"/>
    </row>
    <row r="207" spans="1:25" ht="24" x14ac:dyDescent="0.55000000000000004">
      <c r="A207" s="68"/>
      <c r="B207" s="68"/>
      <c r="C207" s="68"/>
      <c r="D207" s="68"/>
      <c r="E207" s="68"/>
      <c r="F207" s="354"/>
      <c r="G207" s="354"/>
      <c r="H207" s="354"/>
      <c r="I207" s="354"/>
      <c r="J207" s="354"/>
      <c r="K207" s="354"/>
      <c r="L207" s="354"/>
      <c r="M207" s="354"/>
      <c r="N207" s="354"/>
      <c r="O207" s="354"/>
      <c r="P207" s="354"/>
      <c r="Q207" s="354"/>
      <c r="R207" s="354"/>
      <c r="S207" s="354"/>
      <c r="T207" s="354"/>
      <c r="U207" s="354"/>
      <c r="V207" s="354"/>
      <c r="W207" s="354"/>
      <c r="X207" s="354"/>
      <c r="Y207" s="925"/>
    </row>
    <row r="208" spans="1:25" ht="24" x14ac:dyDescent="0.55000000000000004">
      <c r="A208" s="68"/>
      <c r="B208" s="68"/>
      <c r="C208" s="68"/>
      <c r="D208" s="68"/>
      <c r="E208" s="68"/>
      <c r="F208" s="354"/>
      <c r="G208" s="354"/>
      <c r="H208" s="354"/>
      <c r="I208" s="354"/>
      <c r="J208" s="354"/>
      <c r="K208" s="354"/>
      <c r="L208" s="354"/>
      <c r="M208" s="354"/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925"/>
    </row>
    <row r="209" spans="1:25" ht="24" x14ac:dyDescent="0.55000000000000004">
      <c r="A209" s="68"/>
      <c r="B209" s="68"/>
      <c r="C209" s="68"/>
      <c r="D209" s="68"/>
      <c r="E209" s="68"/>
      <c r="F209" s="354"/>
      <c r="G209" s="354"/>
      <c r="H209" s="354"/>
      <c r="I209" s="354"/>
      <c r="J209" s="354"/>
      <c r="K209" s="354"/>
      <c r="L209" s="354"/>
      <c r="M209" s="354"/>
      <c r="N209" s="354"/>
      <c r="O209" s="354"/>
      <c r="P209" s="354"/>
      <c r="Q209" s="354"/>
      <c r="R209" s="354"/>
      <c r="S209" s="354"/>
      <c r="T209" s="354"/>
      <c r="U209" s="354"/>
      <c r="V209" s="354"/>
      <c r="W209" s="354"/>
      <c r="X209" s="354"/>
      <c r="Y209" s="925"/>
    </row>
    <row r="210" spans="1:25" ht="24" x14ac:dyDescent="0.55000000000000004">
      <c r="A210" s="68"/>
      <c r="B210" s="68"/>
      <c r="C210" s="68"/>
      <c r="D210" s="68"/>
      <c r="E210" s="68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4"/>
      <c r="R210" s="354"/>
      <c r="S210" s="354"/>
      <c r="T210" s="354"/>
      <c r="U210" s="354"/>
      <c r="V210" s="354"/>
      <c r="W210" s="354"/>
      <c r="X210" s="354"/>
      <c r="Y210" s="925"/>
    </row>
    <row r="211" spans="1:25" ht="24" x14ac:dyDescent="0.55000000000000004">
      <c r="A211" s="68"/>
      <c r="B211" s="68"/>
      <c r="C211" s="68"/>
      <c r="D211" s="68"/>
      <c r="E211" s="68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4"/>
      <c r="R211" s="354"/>
      <c r="S211" s="354"/>
      <c r="T211" s="354"/>
      <c r="U211" s="354"/>
      <c r="V211" s="354"/>
      <c r="W211" s="354"/>
      <c r="X211" s="354"/>
      <c r="Y211" s="925"/>
    </row>
    <row r="212" spans="1:25" ht="24" x14ac:dyDescent="0.55000000000000004">
      <c r="A212" s="68"/>
      <c r="B212" s="68"/>
      <c r="C212" s="68"/>
      <c r="D212" s="68"/>
      <c r="E212" s="68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4"/>
      <c r="R212" s="354"/>
      <c r="S212" s="354"/>
      <c r="T212" s="354"/>
      <c r="U212" s="354"/>
      <c r="V212" s="354"/>
      <c r="W212" s="354"/>
      <c r="X212" s="354"/>
      <c r="Y212" s="925"/>
    </row>
    <row r="213" spans="1:25" ht="24" x14ac:dyDescent="0.55000000000000004">
      <c r="A213" s="68"/>
      <c r="B213" s="68"/>
      <c r="C213" s="68"/>
      <c r="D213" s="68"/>
      <c r="E213" s="68"/>
      <c r="F213" s="354"/>
      <c r="G213" s="354"/>
      <c r="H213" s="354"/>
      <c r="I213" s="354"/>
      <c r="J213" s="354"/>
      <c r="K213" s="354"/>
      <c r="L213" s="354"/>
      <c r="M213" s="354"/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925"/>
    </row>
    <row r="214" spans="1:25" ht="24" x14ac:dyDescent="0.55000000000000004">
      <c r="A214" s="68"/>
      <c r="B214" s="68"/>
      <c r="C214" s="68"/>
      <c r="D214" s="68"/>
      <c r="E214" s="68"/>
      <c r="F214" s="354"/>
      <c r="G214" s="354"/>
      <c r="H214" s="354"/>
      <c r="I214" s="354"/>
      <c r="J214" s="354"/>
      <c r="K214" s="354"/>
      <c r="L214" s="354"/>
      <c r="M214" s="354"/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925"/>
    </row>
    <row r="215" spans="1:25" ht="24" x14ac:dyDescent="0.55000000000000004">
      <c r="A215" s="68"/>
      <c r="B215" s="68"/>
      <c r="C215" s="68"/>
      <c r="D215" s="68"/>
      <c r="E215" s="68"/>
      <c r="F215" s="354"/>
      <c r="G215" s="354"/>
      <c r="H215" s="354"/>
      <c r="I215" s="354"/>
      <c r="J215" s="354"/>
      <c r="K215" s="354"/>
      <c r="L215" s="354"/>
      <c r="M215" s="354"/>
      <c r="N215" s="354"/>
      <c r="O215" s="354"/>
      <c r="P215" s="354"/>
      <c r="Q215" s="354"/>
      <c r="R215" s="354"/>
      <c r="S215" s="354"/>
      <c r="T215" s="354"/>
      <c r="U215" s="354"/>
      <c r="V215" s="354"/>
      <c r="W215" s="354"/>
      <c r="X215" s="354"/>
      <c r="Y215" s="925"/>
    </row>
    <row r="216" spans="1:25" ht="24" x14ac:dyDescent="0.55000000000000004">
      <c r="A216" s="68"/>
      <c r="B216" s="68"/>
      <c r="C216" s="68"/>
      <c r="D216" s="68"/>
      <c r="E216" s="68"/>
      <c r="F216" s="354"/>
      <c r="G216" s="354"/>
      <c r="H216" s="354"/>
      <c r="I216" s="354"/>
      <c r="J216" s="354"/>
      <c r="K216" s="354"/>
      <c r="L216" s="354"/>
      <c r="M216" s="354"/>
      <c r="N216" s="354"/>
      <c r="O216" s="354"/>
      <c r="P216" s="354"/>
      <c r="Q216" s="354"/>
      <c r="R216" s="354"/>
      <c r="S216" s="354"/>
      <c r="T216" s="354"/>
      <c r="U216" s="354"/>
      <c r="V216" s="354"/>
      <c r="W216" s="354"/>
      <c r="X216" s="354"/>
      <c r="Y216" s="925"/>
    </row>
    <row r="217" spans="1:25" ht="24" x14ac:dyDescent="0.55000000000000004">
      <c r="A217" s="68"/>
      <c r="B217" s="68"/>
      <c r="C217" s="68"/>
      <c r="D217" s="68"/>
      <c r="E217" s="68"/>
      <c r="F217" s="354"/>
      <c r="G217" s="354"/>
      <c r="H217" s="354"/>
      <c r="I217" s="354"/>
      <c r="J217" s="354"/>
      <c r="K217" s="354"/>
      <c r="L217" s="354"/>
      <c r="M217" s="354"/>
      <c r="N217" s="354"/>
      <c r="O217" s="354"/>
      <c r="P217" s="354"/>
      <c r="Q217" s="354"/>
      <c r="R217" s="354"/>
      <c r="S217" s="354"/>
      <c r="T217" s="354"/>
      <c r="U217" s="354"/>
      <c r="V217" s="354"/>
      <c r="W217" s="354"/>
      <c r="X217" s="354"/>
      <c r="Y217" s="925"/>
    </row>
    <row r="218" spans="1:25" ht="24" x14ac:dyDescent="0.55000000000000004">
      <c r="A218" s="68"/>
      <c r="B218" s="68"/>
      <c r="C218" s="68"/>
      <c r="D218" s="68"/>
      <c r="E218" s="68"/>
      <c r="F218" s="354"/>
      <c r="G218" s="354"/>
      <c r="H218" s="354"/>
      <c r="I218" s="354"/>
      <c r="J218" s="354"/>
      <c r="K218" s="354"/>
      <c r="L218" s="354"/>
      <c r="M218" s="354"/>
      <c r="N218" s="354"/>
      <c r="O218" s="354"/>
      <c r="P218" s="354"/>
      <c r="Q218" s="354"/>
      <c r="R218" s="354"/>
      <c r="S218" s="354"/>
      <c r="T218" s="354"/>
      <c r="U218" s="354"/>
      <c r="V218" s="354"/>
      <c r="W218" s="354"/>
      <c r="X218" s="354"/>
      <c r="Y218" s="925"/>
    </row>
    <row r="219" spans="1:25" ht="24" x14ac:dyDescent="0.55000000000000004">
      <c r="A219" s="68"/>
      <c r="B219" s="68"/>
      <c r="C219" s="68"/>
      <c r="D219" s="68"/>
      <c r="E219" s="68"/>
      <c r="F219" s="354"/>
      <c r="G219" s="354"/>
      <c r="H219" s="354"/>
      <c r="I219" s="354"/>
      <c r="J219" s="354"/>
      <c r="K219" s="354"/>
      <c r="L219" s="354"/>
      <c r="M219" s="354"/>
      <c r="N219" s="354"/>
      <c r="O219" s="354"/>
      <c r="P219" s="354"/>
      <c r="Q219" s="354"/>
      <c r="R219" s="354"/>
      <c r="S219" s="354"/>
      <c r="T219" s="354"/>
      <c r="U219" s="354"/>
      <c r="V219" s="354"/>
      <c r="W219" s="354"/>
      <c r="X219" s="354"/>
      <c r="Y219" s="925"/>
    </row>
    <row r="220" spans="1:25" ht="24" x14ac:dyDescent="0.55000000000000004">
      <c r="A220" s="68"/>
      <c r="B220" s="68"/>
      <c r="C220" s="68"/>
      <c r="D220" s="68"/>
      <c r="E220" s="68"/>
      <c r="F220" s="354"/>
      <c r="G220" s="354"/>
      <c r="H220" s="354"/>
      <c r="I220" s="354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925"/>
    </row>
    <row r="221" spans="1:25" ht="24" x14ac:dyDescent="0.55000000000000004">
      <c r="A221" s="68"/>
      <c r="B221" s="68"/>
      <c r="C221" s="68"/>
      <c r="D221" s="68"/>
      <c r="E221" s="68"/>
      <c r="F221" s="354"/>
      <c r="G221" s="354"/>
      <c r="H221" s="354"/>
      <c r="I221" s="354"/>
      <c r="J221" s="354"/>
      <c r="K221" s="354"/>
      <c r="L221" s="354"/>
      <c r="M221" s="354"/>
      <c r="N221" s="354"/>
      <c r="O221" s="354"/>
      <c r="P221" s="354"/>
      <c r="Q221" s="354"/>
      <c r="R221" s="354"/>
      <c r="S221" s="354"/>
      <c r="T221" s="354"/>
      <c r="U221" s="354"/>
      <c r="V221" s="354"/>
      <c r="W221" s="354"/>
      <c r="X221" s="354"/>
      <c r="Y221" s="925"/>
    </row>
    <row r="222" spans="1:25" ht="24" x14ac:dyDescent="0.55000000000000004">
      <c r="A222" s="68"/>
      <c r="B222" s="68"/>
      <c r="C222" s="68"/>
      <c r="D222" s="68"/>
      <c r="E222" s="68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4"/>
      <c r="R222" s="354"/>
      <c r="S222" s="354"/>
      <c r="T222" s="354"/>
      <c r="U222" s="354"/>
      <c r="V222" s="354"/>
      <c r="W222" s="354"/>
      <c r="X222" s="354"/>
      <c r="Y222" s="925"/>
    </row>
    <row r="223" spans="1:25" ht="24" x14ac:dyDescent="0.55000000000000004">
      <c r="A223" s="68"/>
      <c r="B223" s="68"/>
      <c r="C223" s="68"/>
      <c r="D223" s="68"/>
      <c r="E223" s="68"/>
      <c r="F223" s="354"/>
      <c r="G223" s="354"/>
      <c r="H223" s="354"/>
      <c r="I223" s="354"/>
      <c r="J223" s="354"/>
      <c r="K223" s="354"/>
      <c r="L223" s="354"/>
      <c r="M223" s="354"/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925"/>
    </row>
    <row r="224" spans="1:25" ht="24" x14ac:dyDescent="0.55000000000000004">
      <c r="A224" s="68"/>
      <c r="B224" s="68"/>
      <c r="C224" s="68"/>
      <c r="D224" s="68"/>
      <c r="E224" s="68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4"/>
      <c r="R224" s="354"/>
      <c r="S224" s="354"/>
      <c r="T224" s="354"/>
      <c r="U224" s="354"/>
      <c r="V224" s="354"/>
      <c r="W224" s="354"/>
      <c r="X224" s="354"/>
      <c r="Y224" s="925"/>
    </row>
    <row r="225" spans="1:25" ht="24" x14ac:dyDescent="0.55000000000000004">
      <c r="A225" s="68"/>
      <c r="B225" s="68"/>
      <c r="C225" s="68"/>
      <c r="D225" s="68"/>
      <c r="E225" s="68"/>
      <c r="F225" s="354"/>
      <c r="G225" s="354"/>
      <c r="H225" s="354"/>
      <c r="I225" s="354"/>
      <c r="J225" s="354"/>
      <c r="K225" s="354"/>
      <c r="L225" s="354"/>
      <c r="M225" s="354"/>
      <c r="N225" s="354"/>
      <c r="O225" s="354"/>
      <c r="P225" s="354"/>
      <c r="Q225" s="354"/>
      <c r="R225" s="354"/>
      <c r="S225" s="354"/>
      <c r="T225" s="354"/>
      <c r="U225" s="354"/>
      <c r="V225" s="354"/>
      <c r="W225" s="354"/>
      <c r="X225" s="354"/>
      <c r="Y225" s="925"/>
    </row>
    <row r="226" spans="1:25" ht="24" x14ac:dyDescent="0.55000000000000004">
      <c r="A226" s="68"/>
      <c r="B226" s="68"/>
      <c r="C226" s="68"/>
      <c r="D226" s="68"/>
      <c r="E226" s="68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4"/>
      <c r="Q226" s="354"/>
      <c r="R226" s="354"/>
      <c r="S226" s="354"/>
      <c r="T226" s="354"/>
      <c r="U226" s="354"/>
      <c r="V226" s="354"/>
      <c r="W226" s="354"/>
      <c r="X226" s="354"/>
      <c r="Y226" s="925"/>
    </row>
    <row r="227" spans="1:25" ht="24" x14ac:dyDescent="0.55000000000000004">
      <c r="A227" s="68"/>
      <c r="B227" s="68"/>
      <c r="C227" s="68"/>
      <c r="D227" s="68"/>
      <c r="E227" s="68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4"/>
      <c r="R227" s="354"/>
      <c r="S227" s="354"/>
      <c r="T227" s="354"/>
      <c r="U227" s="354"/>
      <c r="V227" s="354"/>
      <c r="W227" s="354"/>
      <c r="X227" s="354"/>
      <c r="Y227" s="925"/>
    </row>
    <row r="228" spans="1:25" ht="24" x14ac:dyDescent="0.55000000000000004">
      <c r="A228" s="68"/>
      <c r="B228" s="68"/>
      <c r="C228" s="68"/>
      <c r="D228" s="68"/>
      <c r="E228" s="68"/>
      <c r="F228" s="354"/>
      <c r="G228" s="354"/>
      <c r="H228" s="354"/>
      <c r="I228" s="354"/>
      <c r="J228" s="354"/>
      <c r="K228" s="354"/>
      <c r="L228" s="354"/>
      <c r="M228" s="354"/>
      <c r="N228" s="354"/>
      <c r="O228" s="354"/>
      <c r="P228" s="354"/>
      <c r="Q228" s="354"/>
      <c r="R228" s="354"/>
      <c r="S228" s="354"/>
      <c r="T228" s="354"/>
      <c r="U228" s="354"/>
      <c r="V228" s="354"/>
      <c r="W228" s="354"/>
      <c r="X228" s="354"/>
      <c r="Y228" s="925"/>
    </row>
    <row r="229" spans="1:25" ht="24" x14ac:dyDescent="0.55000000000000004">
      <c r="A229" s="68"/>
      <c r="B229" s="68"/>
      <c r="C229" s="68"/>
      <c r="D229" s="68"/>
      <c r="E229" s="68"/>
      <c r="F229" s="354"/>
      <c r="G229" s="354"/>
      <c r="H229" s="354"/>
      <c r="I229" s="354"/>
      <c r="J229" s="354"/>
      <c r="K229" s="354"/>
      <c r="L229" s="354"/>
      <c r="M229" s="354"/>
      <c r="N229" s="354"/>
      <c r="O229" s="354"/>
      <c r="P229" s="354"/>
      <c r="Q229" s="354"/>
      <c r="R229" s="354"/>
      <c r="S229" s="354"/>
      <c r="T229" s="354"/>
      <c r="U229" s="354"/>
      <c r="V229" s="354"/>
      <c r="W229" s="354"/>
      <c r="X229" s="354"/>
      <c r="Y229" s="925"/>
    </row>
    <row r="230" spans="1:25" ht="24" x14ac:dyDescent="0.55000000000000004">
      <c r="A230" s="68"/>
      <c r="B230" s="68"/>
      <c r="C230" s="68"/>
      <c r="D230" s="68"/>
      <c r="E230" s="68"/>
      <c r="F230" s="354"/>
      <c r="G230" s="354"/>
      <c r="H230" s="354"/>
      <c r="I230" s="354"/>
      <c r="J230" s="354"/>
      <c r="K230" s="354"/>
      <c r="L230" s="354"/>
      <c r="M230" s="354"/>
      <c r="N230" s="354"/>
      <c r="O230" s="354"/>
      <c r="P230" s="354"/>
      <c r="Q230" s="354"/>
      <c r="R230" s="354"/>
      <c r="S230" s="354"/>
      <c r="T230" s="354"/>
      <c r="U230" s="354"/>
      <c r="V230" s="354"/>
      <c r="W230" s="354"/>
      <c r="X230" s="354"/>
      <c r="Y230" s="925"/>
    </row>
    <row r="231" spans="1:25" ht="24" x14ac:dyDescent="0.55000000000000004">
      <c r="A231" s="68"/>
      <c r="B231" s="68"/>
      <c r="C231" s="68"/>
      <c r="D231" s="68"/>
      <c r="E231" s="68"/>
      <c r="F231" s="354"/>
      <c r="G231" s="354"/>
      <c r="H231" s="354"/>
      <c r="I231" s="354"/>
      <c r="J231" s="354"/>
      <c r="K231" s="354"/>
      <c r="L231" s="354"/>
      <c r="M231" s="354"/>
      <c r="N231" s="354"/>
      <c r="O231" s="354"/>
      <c r="P231" s="354"/>
      <c r="Q231" s="354"/>
      <c r="R231" s="354"/>
      <c r="S231" s="354"/>
      <c r="T231" s="354"/>
      <c r="U231" s="354"/>
      <c r="V231" s="354"/>
      <c r="W231" s="354"/>
      <c r="X231" s="354"/>
      <c r="Y231" s="925"/>
    </row>
    <row r="232" spans="1:25" ht="24" x14ac:dyDescent="0.55000000000000004">
      <c r="A232" s="68"/>
      <c r="B232" s="68"/>
      <c r="C232" s="68"/>
      <c r="D232" s="68"/>
      <c r="E232" s="68"/>
      <c r="F232" s="354"/>
      <c r="G232" s="354"/>
      <c r="H232" s="354"/>
      <c r="I232" s="354"/>
      <c r="J232" s="354"/>
      <c r="K232" s="354"/>
      <c r="L232" s="354"/>
      <c r="M232" s="354"/>
      <c r="N232" s="354"/>
      <c r="O232" s="354"/>
      <c r="P232" s="354"/>
      <c r="Q232" s="354"/>
      <c r="R232" s="354"/>
      <c r="S232" s="354"/>
      <c r="T232" s="354"/>
      <c r="U232" s="354"/>
      <c r="V232" s="354"/>
      <c r="W232" s="354"/>
      <c r="X232" s="354"/>
      <c r="Y232" s="925"/>
    </row>
    <row r="233" spans="1:25" ht="24" x14ac:dyDescent="0.55000000000000004">
      <c r="A233" s="68"/>
      <c r="B233" s="68"/>
      <c r="C233" s="68"/>
      <c r="D233" s="68"/>
      <c r="E233" s="68"/>
      <c r="F233" s="354"/>
      <c r="G233" s="354"/>
      <c r="H233" s="354"/>
      <c r="I233" s="354"/>
      <c r="J233" s="354"/>
      <c r="K233" s="354"/>
      <c r="L233" s="354"/>
      <c r="M233" s="354"/>
      <c r="N233" s="354"/>
      <c r="O233" s="354"/>
      <c r="P233" s="354"/>
      <c r="Q233" s="354"/>
      <c r="R233" s="354"/>
      <c r="S233" s="354"/>
      <c r="T233" s="354"/>
      <c r="U233" s="354"/>
      <c r="V233" s="354"/>
      <c r="W233" s="354"/>
      <c r="X233" s="354"/>
      <c r="Y233" s="925"/>
    </row>
    <row r="234" spans="1:25" ht="24" x14ac:dyDescent="0.55000000000000004">
      <c r="A234" s="68"/>
      <c r="B234" s="68"/>
      <c r="C234" s="68"/>
      <c r="D234" s="68"/>
      <c r="E234" s="68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4"/>
      <c r="R234" s="354"/>
      <c r="S234" s="354"/>
      <c r="T234" s="354"/>
      <c r="U234" s="354"/>
      <c r="V234" s="354"/>
      <c r="W234" s="354"/>
      <c r="X234" s="354"/>
      <c r="Y234" s="925"/>
    </row>
    <row r="235" spans="1:25" ht="24" x14ac:dyDescent="0.55000000000000004">
      <c r="A235" s="68"/>
      <c r="B235" s="68"/>
      <c r="C235" s="68"/>
      <c r="D235" s="68"/>
      <c r="E235" s="68"/>
      <c r="F235" s="354"/>
      <c r="G235" s="354"/>
      <c r="H235" s="354"/>
      <c r="I235" s="354"/>
      <c r="J235" s="354"/>
      <c r="K235" s="354"/>
      <c r="L235" s="354"/>
      <c r="M235" s="354"/>
      <c r="N235" s="354"/>
      <c r="O235" s="354"/>
      <c r="P235" s="354"/>
      <c r="Q235" s="354"/>
      <c r="R235" s="354"/>
      <c r="S235" s="354"/>
      <c r="T235" s="354"/>
      <c r="U235" s="354"/>
      <c r="V235" s="354"/>
      <c r="W235" s="354"/>
      <c r="X235" s="354"/>
      <c r="Y235" s="925"/>
    </row>
    <row r="236" spans="1:25" ht="24" x14ac:dyDescent="0.55000000000000004">
      <c r="A236" s="68"/>
      <c r="B236" s="68"/>
      <c r="C236" s="68"/>
      <c r="D236" s="68"/>
      <c r="E236" s="68"/>
      <c r="F236" s="354"/>
      <c r="G236" s="35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4"/>
      <c r="R236" s="354"/>
      <c r="S236" s="354"/>
      <c r="T236" s="354"/>
      <c r="U236" s="354"/>
      <c r="V236" s="354"/>
      <c r="W236" s="354"/>
      <c r="X236" s="354"/>
      <c r="Y236" s="925"/>
    </row>
    <row r="237" spans="1:25" ht="24" x14ac:dyDescent="0.55000000000000004">
      <c r="A237" s="68"/>
      <c r="B237" s="68"/>
      <c r="C237" s="68"/>
      <c r="D237" s="68"/>
      <c r="E237" s="68"/>
      <c r="F237" s="354"/>
      <c r="G237" s="354"/>
      <c r="H237" s="354"/>
      <c r="I237" s="354"/>
      <c r="J237" s="354"/>
      <c r="K237" s="354"/>
      <c r="L237" s="354"/>
      <c r="M237" s="354"/>
      <c r="N237" s="354"/>
      <c r="O237" s="354"/>
      <c r="P237" s="354"/>
      <c r="Q237" s="354"/>
      <c r="R237" s="354"/>
      <c r="S237" s="354"/>
      <c r="T237" s="354"/>
      <c r="U237" s="354"/>
      <c r="V237" s="354"/>
      <c r="W237" s="354"/>
      <c r="X237" s="354"/>
      <c r="Y237" s="925"/>
    </row>
    <row r="238" spans="1:25" ht="24" x14ac:dyDescent="0.55000000000000004">
      <c r="A238" s="68"/>
      <c r="B238" s="68"/>
      <c r="C238" s="68"/>
      <c r="D238" s="68"/>
      <c r="E238" s="68"/>
      <c r="F238" s="354"/>
      <c r="G238" s="354"/>
      <c r="H238" s="354"/>
      <c r="I238" s="354"/>
      <c r="J238" s="354"/>
      <c r="K238" s="354"/>
      <c r="L238" s="354"/>
      <c r="M238" s="354"/>
      <c r="N238" s="354"/>
      <c r="O238" s="354"/>
      <c r="P238" s="354"/>
      <c r="Q238" s="354"/>
      <c r="R238" s="354"/>
      <c r="S238" s="354"/>
      <c r="T238" s="354"/>
      <c r="U238" s="354"/>
      <c r="V238" s="354"/>
      <c r="W238" s="354"/>
      <c r="X238" s="354"/>
      <c r="Y238" s="925"/>
    </row>
    <row r="239" spans="1:25" ht="24" x14ac:dyDescent="0.55000000000000004">
      <c r="A239" s="68"/>
      <c r="B239" s="68"/>
      <c r="C239" s="68"/>
      <c r="D239" s="68"/>
      <c r="E239" s="68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4"/>
      <c r="R239" s="354"/>
      <c r="S239" s="354"/>
      <c r="T239" s="354"/>
      <c r="U239" s="354"/>
      <c r="V239" s="354"/>
      <c r="W239" s="354"/>
      <c r="X239" s="354"/>
      <c r="Y239" s="925"/>
    </row>
    <row r="240" spans="1:25" ht="24" x14ac:dyDescent="0.55000000000000004">
      <c r="A240" s="68"/>
      <c r="B240" s="68"/>
      <c r="C240" s="68"/>
      <c r="D240" s="68"/>
      <c r="E240" s="68"/>
      <c r="F240" s="354"/>
      <c r="G240" s="354"/>
      <c r="H240" s="354"/>
      <c r="I240" s="354"/>
      <c r="J240" s="354"/>
      <c r="K240" s="354"/>
      <c r="L240" s="354"/>
      <c r="M240" s="354"/>
      <c r="N240" s="354"/>
      <c r="O240" s="354"/>
      <c r="P240" s="354"/>
      <c r="Q240" s="354"/>
      <c r="R240" s="354"/>
      <c r="S240" s="354"/>
      <c r="T240" s="354"/>
      <c r="U240" s="354"/>
      <c r="V240" s="354"/>
      <c r="W240" s="354"/>
      <c r="X240" s="354"/>
      <c r="Y240" s="925"/>
    </row>
    <row r="241" spans="1:25" ht="24" x14ac:dyDescent="0.55000000000000004">
      <c r="A241" s="68"/>
      <c r="B241" s="68"/>
      <c r="C241" s="68"/>
      <c r="D241" s="68"/>
      <c r="E241" s="68"/>
      <c r="F241" s="354"/>
      <c r="G241" s="354"/>
      <c r="H241" s="354"/>
      <c r="I241" s="354"/>
      <c r="J241" s="354"/>
      <c r="K241" s="354"/>
      <c r="L241" s="354"/>
      <c r="M241" s="354"/>
      <c r="N241" s="354"/>
      <c r="O241" s="354"/>
      <c r="P241" s="354"/>
      <c r="Q241" s="354"/>
      <c r="R241" s="354"/>
      <c r="S241" s="354"/>
      <c r="T241" s="354"/>
      <c r="U241" s="354"/>
      <c r="V241" s="354"/>
      <c r="W241" s="354"/>
      <c r="X241" s="354"/>
      <c r="Y241" s="925"/>
    </row>
    <row r="242" spans="1:25" ht="24" x14ac:dyDescent="0.55000000000000004">
      <c r="A242" s="68"/>
      <c r="B242" s="68"/>
      <c r="C242" s="68"/>
      <c r="D242" s="68"/>
      <c r="E242" s="68"/>
      <c r="F242" s="354"/>
      <c r="G242" s="354"/>
      <c r="H242" s="354"/>
      <c r="I242" s="354"/>
      <c r="J242" s="354"/>
      <c r="K242" s="354"/>
      <c r="L242" s="354"/>
      <c r="M242" s="354"/>
      <c r="N242" s="354"/>
      <c r="O242" s="354"/>
      <c r="P242" s="354"/>
      <c r="Q242" s="354"/>
      <c r="R242" s="354"/>
      <c r="S242" s="354"/>
      <c r="T242" s="354"/>
      <c r="U242" s="354"/>
      <c r="V242" s="354"/>
      <c r="W242" s="354"/>
      <c r="X242" s="354"/>
      <c r="Y242" s="925"/>
    </row>
    <row r="243" spans="1:25" ht="24" x14ac:dyDescent="0.55000000000000004">
      <c r="A243" s="68"/>
      <c r="B243" s="68"/>
      <c r="C243" s="68"/>
      <c r="D243" s="68"/>
      <c r="E243" s="68"/>
      <c r="F243" s="354"/>
      <c r="G243" s="354"/>
      <c r="H243" s="354"/>
      <c r="I243" s="354"/>
      <c r="J243" s="354"/>
      <c r="K243" s="354"/>
      <c r="L243" s="354"/>
      <c r="M243" s="354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925"/>
    </row>
    <row r="244" spans="1:25" ht="24" x14ac:dyDescent="0.55000000000000004">
      <c r="A244" s="68"/>
      <c r="B244" s="68"/>
      <c r="C244" s="68"/>
      <c r="D244" s="68"/>
      <c r="E244" s="68"/>
      <c r="F244" s="354"/>
      <c r="G244" s="354"/>
      <c r="H244" s="354"/>
      <c r="I244" s="354"/>
      <c r="J244" s="354"/>
      <c r="K244" s="354"/>
      <c r="L244" s="354"/>
      <c r="M244" s="354"/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925"/>
    </row>
    <row r="245" spans="1:25" ht="24" x14ac:dyDescent="0.55000000000000004">
      <c r="A245" s="68"/>
      <c r="B245" s="68"/>
      <c r="C245" s="68"/>
      <c r="D245" s="68"/>
      <c r="E245" s="68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925"/>
    </row>
    <row r="246" spans="1:25" ht="24" x14ac:dyDescent="0.55000000000000004">
      <c r="A246" s="68"/>
      <c r="B246" s="68"/>
      <c r="C246" s="68"/>
      <c r="D246" s="68"/>
      <c r="E246" s="68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925"/>
    </row>
    <row r="247" spans="1:25" ht="24" x14ac:dyDescent="0.55000000000000004">
      <c r="A247" s="68"/>
      <c r="B247" s="68"/>
      <c r="C247" s="68"/>
      <c r="D247" s="68"/>
      <c r="E247" s="68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925"/>
    </row>
    <row r="248" spans="1:25" ht="24" x14ac:dyDescent="0.55000000000000004">
      <c r="A248" s="68"/>
      <c r="B248" s="68"/>
      <c r="C248" s="68"/>
      <c r="D248" s="68"/>
      <c r="E248" s="68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925"/>
    </row>
    <row r="249" spans="1:25" ht="24" x14ac:dyDescent="0.55000000000000004">
      <c r="A249" s="68"/>
      <c r="B249" s="68"/>
      <c r="C249" s="68"/>
      <c r="D249" s="68"/>
      <c r="E249" s="68"/>
      <c r="F249" s="354"/>
      <c r="G249" s="354"/>
      <c r="H249" s="354"/>
      <c r="I249" s="354"/>
      <c r="J249" s="354"/>
      <c r="K249" s="354"/>
      <c r="L249" s="354"/>
      <c r="M249" s="354"/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925"/>
    </row>
    <row r="250" spans="1:25" ht="24" x14ac:dyDescent="0.55000000000000004">
      <c r="A250" s="68"/>
      <c r="B250" s="68"/>
      <c r="C250" s="68"/>
      <c r="D250" s="68"/>
      <c r="E250" s="68"/>
      <c r="F250" s="354"/>
      <c r="G250" s="354"/>
      <c r="H250" s="354"/>
      <c r="I250" s="354"/>
      <c r="J250" s="354"/>
      <c r="K250" s="354"/>
      <c r="L250" s="354"/>
      <c r="M250" s="354"/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925"/>
    </row>
    <row r="251" spans="1:25" ht="24" x14ac:dyDescent="0.55000000000000004">
      <c r="A251" s="68"/>
      <c r="B251" s="68"/>
      <c r="C251" s="68"/>
      <c r="D251" s="68"/>
      <c r="E251" s="68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925"/>
    </row>
    <row r="252" spans="1:25" ht="24" x14ac:dyDescent="0.55000000000000004">
      <c r="A252" s="68"/>
      <c r="B252" s="68"/>
      <c r="C252" s="68"/>
      <c r="D252" s="68"/>
      <c r="E252" s="68"/>
      <c r="F252" s="354"/>
      <c r="G252" s="354"/>
      <c r="H252" s="354"/>
      <c r="I252" s="354"/>
      <c r="J252" s="354"/>
      <c r="K252" s="354"/>
      <c r="L252" s="354"/>
      <c r="M252" s="354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925"/>
    </row>
    <row r="253" spans="1:25" ht="24" x14ac:dyDescent="0.55000000000000004">
      <c r="A253" s="68"/>
      <c r="B253" s="68"/>
      <c r="C253" s="68"/>
      <c r="D253" s="68"/>
      <c r="E253" s="68"/>
      <c r="F253" s="354"/>
      <c r="G253" s="354"/>
      <c r="H253" s="354"/>
      <c r="I253" s="354"/>
      <c r="J253" s="354"/>
      <c r="K253" s="354"/>
      <c r="L253" s="354"/>
      <c r="M253" s="354"/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925"/>
    </row>
    <row r="254" spans="1:25" ht="24" x14ac:dyDescent="0.55000000000000004">
      <c r="A254" s="68"/>
      <c r="B254" s="68"/>
      <c r="C254" s="68"/>
      <c r="D254" s="68"/>
      <c r="E254" s="68"/>
      <c r="F254" s="354"/>
      <c r="G254" s="354"/>
      <c r="H254" s="354"/>
      <c r="I254" s="354"/>
      <c r="J254" s="354"/>
      <c r="K254" s="354"/>
      <c r="L254" s="354"/>
      <c r="M254" s="354"/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925"/>
    </row>
    <row r="255" spans="1:25" ht="24" x14ac:dyDescent="0.55000000000000004">
      <c r="A255" s="68"/>
      <c r="B255" s="68"/>
      <c r="C255" s="68"/>
      <c r="D255" s="68"/>
      <c r="E255" s="68"/>
      <c r="F255" s="354"/>
      <c r="G255" s="354"/>
      <c r="H255" s="354"/>
      <c r="I255" s="354"/>
      <c r="J255" s="354"/>
      <c r="K255" s="354"/>
      <c r="L255" s="354"/>
      <c r="M255" s="354"/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925"/>
    </row>
    <row r="256" spans="1:25" ht="24" x14ac:dyDescent="0.55000000000000004">
      <c r="A256" s="68"/>
      <c r="B256" s="68"/>
      <c r="C256" s="68"/>
      <c r="D256" s="68"/>
      <c r="E256" s="68"/>
      <c r="F256" s="354"/>
      <c r="G256" s="354"/>
      <c r="H256" s="354"/>
      <c r="I256" s="354"/>
      <c r="J256" s="354"/>
      <c r="K256" s="354"/>
      <c r="L256" s="354"/>
      <c r="M256" s="354"/>
      <c r="N256" s="354"/>
      <c r="O256" s="354"/>
      <c r="P256" s="354"/>
      <c r="Q256" s="354"/>
      <c r="R256" s="354"/>
      <c r="S256" s="354"/>
      <c r="T256" s="354"/>
      <c r="U256" s="354"/>
      <c r="V256" s="354"/>
      <c r="W256" s="354"/>
      <c r="X256" s="354"/>
      <c r="Y256" s="925"/>
    </row>
    <row r="257" spans="1:25" ht="24" x14ac:dyDescent="0.55000000000000004">
      <c r="A257" s="68"/>
      <c r="B257" s="68"/>
      <c r="C257" s="68"/>
      <c r="D257" s="68"/>
      <c r="E257" s="68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4"/>
      <c r="R257" s="354"/>
      <c r="S257" s="354"/>
      <c r="T257" s="354"/>
      <c r="U257" s="354"/>
      <c r="V257" s="354"/>
      <c r="W257" s="354"/>
      <c r="X257" s="354"/>
      <c r="Y257" s="925"/>
    </row>
    <row r="258" spans="1:25" ht="24" x14ac:dyDescent="0.55000000000000004">
      <c r="A258" s="68"/>
      <c r="B258" s="68"/>
      <c r="C258" s="68"/>
      <c r="D258" s="68"/>
      <c r="E258" s="68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4"/>
      <c r="R258" s="354"/>
      <c r="S258" s="354"/>
      <c r="T258" s="354"/>
      <c r="U258" s="354"/>
      <c r="V258" s="354"/>
      <c r="W258" s="354"/>
      <c r="X258" s="354"/>
      <c r="Y258" s="925"/>
    </row>
    <row r="259" spans="1:25" ht="24" x14ac:dyDescent="0.55000000000000004">
      <c r="A259" s="68"/>
      <c r="B259" s="68"/>
      <c r="C259" s="68"/>
      <c r="D259" s="68"/>
      <c r="E259" s="68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4"/>
      <c r="Y259" s="925"/>
    </row>
    <row r="260" spans="1:25" ht="24" x14ac:dyDescent="0.55000000000000004">
      <c r="A260" s="68"/>
      <c r="B260" s="68"/>
      <c r="C260" s="68"/>
      <c r="D260" s="68"/>
      <c r="E260" s="68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925"/>
    </row>
    <row r="261" spans="1:25" ht="24" x14ac:dyDescent="0.55000000000000004">
      <c r="A261" s="68"/>
      <c r="B261" s="68"/>
      <c r="C261" s="68"/>
      <c r="D261" s="68"/>
      <c r="E261" s="68"/>
      <c r="F261" s="354"/>
      <c r="G261" s="354"/>
      <c r="H261" s="354"/>
      <c r="I261" s="354"/>
      <c r="J261" s="354"/>
      <c r="K261" s="354"/>
      <c r="L261" s="354"/>
      <c r="M261" s="354"/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925"/>
    </row>
    <row r="262" spans="1:25" ht="24" x14ac:dyDescent="0.55000000000000004">
      <c r="A262" s="68"/>
      <c r="B262" s="68"/>
      <c r="C262" s="68"/>
      <c r="D262" s="68"/>
      <c r="E262" s="68"/>
      <c r="F262" s="354"/>
      <c r="G262" s="354"/>
      <c r="H262" s="354"/>
      <c r="I262" s="354"/>
      <c r="J262" s="354"/>
      <c r="K262" s="354"/>
      <c r="L262" s="354"/>
      <c r="M262" s="354"/>
      <c r="N262" s="354"/>
      <c r="O262" s="354"/>
      <c r="P262" s="354"/>
      <c r="Q262" s="354"/>
      <c r="R262" s="354"/>
      <c r="S262" s="354"/>
      <c r="T262" s="354"/>
      <c r="U262" s="354"/>
      <c r="V262" s="354"/>
      <c r="W262" s="354"/>
      <c r="X262" s="354"/>
      <c r="Y262" s="925"/>
    </row>
    <row r="263" spans="1:25" ht="24" x14ac:dyDescent="0.55000000000000004">
      <c r="A263" s="68"/>
      <c r="B263" s="68"/>
      <c r="C263" s="68"/>
      <c r="D263" s="68"/>
      <c r="E263" s="68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925"/>
    </row>
    <row r="264" spans="1:25" ht="24" x14ac:dyDescent="0.55000000000000004">
      <c r="A264" s="68"/>
      <c r="B264" s="68"/>
      <c r="C264" s="68"/>
      <c r="D264" s="68"/>
      <c r="E264" s="68"/>
      <c r="F264" s="354"/>
      <c r="G264" s="354"/>
      <c r="H264" s="354"/>
      <c r="I264" s="354"/>
      <c r="J264" s="354"/>
      <c r="K264" s="354"/>
      <c r="L264" s="354"/>
      <c r="M264" s="354"/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925"/>
    </row>
    <row r="265" spans="1:25" ht="24" x14ac:dyDescent="0.55000000000000004">
      <c r="A265" s="68"/>
      <c r="B265" s="68"/>
      <c r="C265" s="68"/>
      <c r="D265" s="68"/>
      <c r="E265" s="68"/>
      <c r="F265" s="354"/>
      <c r="G265" s="354"/>
      <c r="H265" s="354"/>
      <c r="I265" s="354"/>
      <c r="J265" s="354"/>
      <c r="K265" s="354"/>
      <c r="L265" s="354"/>
      <c r="M265" s="354"/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925"/>
    </row>
    <row r="266" spans="1:25" ht="24" x14ac:dyDescent="0.55000000000000004">
      <c r="A266" s="68"/>
      <c r="B266" s="68"/>
      <c r="C266" s="68"/>
      <c r="D266" s="68"/>
      <c r="E266" s="68"/>
      <c r="F266" s="354"/>
      <c r="G266" s="354"/>
      <c r="H266" s="354"/>
      <c r="I266" s="354"/>
      <c r="J266" s="354"/>
      <c r="K266" s="354"/>
      <c r="L266" s="354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925"/>
    </row>
    <row r="267" spans="1:25" ht="24" x14ac:dyDescent="0.55000000000000004">
      <c r="A267" s="68"/>
      <c r="B267" s="68"/>
      <c r="C267" s="68"/>
      <c r="D267" s="68"/>
      <c r="E267" s="68"/>
      <c r="F267" s="354"/>
      <c r="G267" s="354"/>
      <c r="H267" s="354"/>
      <c r="I267" s="354"/>
      <c r="J267" s="354"/>
      <c r="K267" s="354"/>
      <c r="L267" s="354"/>
      <c r="M267" s="354"/>
      <c r="N267" s="354"/>
      <c r="O267" s="354"/>
      <c r="P267" s="354"/>
      <c r="Q267" s="354"/>
      <c r="R267" s="354"/>
      <c r="S267" s="354"/>
      <c r="T267" s="354"/>
      <c r="U267" s="354"/>
      <c r="V267" s="354"/>
      <c r="W267" s="354"/>
      <c r="X267" s="354"/>
      <c r="Y267" s="925"/>
    </row>
    <row r="268" spans="1:25" ht="24" x14ac:dyDescent="0.55000000000000004">
      <c r="A268" s="68"/>
      <c r="B268" s="68"/>
      <c r="C268" s="68"/>
      <c r="D268" s="68"/>
      <c r="E268" s="68"/>
      <c r="F268" s="354"/>
      <c r="G268" s="354"/>
      <c r="H268" s="354"/>
      <c r="I268" s="354"/>
      <c r="J268" s="354"/>
      <c r="K268" s="354"/>
      <c r="L268" s="354"/>
      <c r="M268" s="354"/>
      <c r="N268" s="354"/>
      <c r="O268" s="354"/>
      <c r="P268" s="354"/>
      <c r="Q268" s="354"/>
      <c r="R268" s="354"/>
      <c r="S268" s="354"/>
      <c r="T268" s="354"/>
      <c r="U268" s="354"/>
      <c r="V268" s="354"/>
      <c r="W268" s="354"/>
      <c r="X268" s="354"/>
      <c r="Y268" s="925"/>
    </row>
    <row r="269" spans="1:25" ht="24" x14ac:dyDescent="0.55000000000000004">
      <c r="A269" s="68"/>
      <c r="B269" s="68"/>
      <c r="C269" s="68"/>
      <c r="D269" s="68"/>
      <c r="E269" s="68"/>
      <c r="F269" s="354"/>
      <c r="G269" s="354"/>
      <c r="H269" s="354"/>
      <c r="I269" s="354"/>
      <c r="J269" s="354"/>
      <c r="K269" s="354"/>
      <c r="L269" s="354"/>
      <c r="M269" s="354"/>
      <c r="N269" s="354"/>
      <c r="O269" s="354"/>
      <c r="P269" s="354"/>
      <c r="Q269" s="354"/>
      <c r="R269" s="354"/>
      <c r="S269" s="354"/>
      <c r="T269" s="354"/>
      <c r="U269" s="354"/>
      <c r="V269" s="354"/>
      <c r="W269" s="354"/>
      <c r="X269" s="354"/>
      <c r="Y269" s="925"/>
    </row>
    <row r="270" spans="1:25" ht="24" x14ac:dyDescent="0.55000000000000004">
      <c r="A270" s="68"/>
      <c r="B270" s="68"/>
      <c r="C270" s="68"/>
      <c r="D270" s="68"/>
      <c r="E270" s="68"/>
      <c r="F270" s="354"/>
      <c r="G270" s="354"/>
      <c r="H270" s="354"/>
      <c r="I270" s="354"/>
      <c r="J270" s="354"/>
      <c r="K270" s="354"/>
      <c r="L270" s="354"/>
      <c r="M270" s="354"/>
      <c r="N270" s="354"/>
      <c r="O270" s="354"/>
      <c r="P270" s="354"/>
      <c r="Q270" s="354"/>
      <c r="R270" s="354"/>
      <c r="S270" s="354"/>
      <c r="T270" s="354"/>
      <c r="U270" s="354"/>
      <c r="V270" s="354"/>
      <c r="W270" s="354"/>
      <c r="X270" s="354"/>
      <c r="Y270" s="925"/>
    </row>
    <row r="271" spans="1:25" ht="24" x14ac:dyDescent="0.55000000000000004">
      <c r="A271" s="68"/>
      <c r="B271" s="68"/>
      <c r="C271" s="68"/>
      <c r="D271" s="68"/>
      <c r="E271" s="68"/>
      <c r="F271" s="354"/>
      <c r="G271" s="354"/>
      <c r="H271" s="354"/>
      <c r="I271" s="354"/>
      <c r="J271" s="354"/>
      <c r="K271" s="354"/>
      <c r="L271" s="354"/>
      <c r="M271" s="354"/>
      <c r="N271" s="354"/>
      <c r="O271" s="354"/>
      <c r="P271" s="354"/>
      <c r="Q271" s="354"/>
      <c r="R271" s="354"/>
      <c r="S271" s="354"/>
      <c r="T271" s="354"/>
      <c r="U271" s="354"/>
      <c r="V271" s="354"/>
      <c r="W271" s="354"/>
      <c r="X271" s="354"/>
      <c r="Y271" s="925"/>
    </row>
    <row r="272" spans="1:25" ht="24" x14ac:dyDescent="0.55000000000000004">
      <c r="A272" s="68"/>
      <c r="B272" s="68"/>
      <c r="C272" s="68"/>
      <c r="D272" s="68"/>
      <c r="E272" s="68"/>
      <c r="F272" s="354"/>
      <c r="G272" s="354"/>
      <c r="H272" s="354"/>
      <c r="I272" s="354"/>
      <c r="J272" s="354"/>
      <c r="K272" s="354"/>
      <c r="L272" s="354"/>
      <c r="M272" s="354"/>
      <c r="N272" s="354"/>
      <c r="O272" s="354"/>
      <c r="P272" s="354"/>
      <c r="Q272" s="354"/>
      <c r="R272" s="354"/>
      <c r="S272" s="354"/>
      <c r="T272" s="354"/>
      <c r="U272" s="354"/>
      <c r="V272" s="354"/>
      <c r="W272" s="354"/>
      <c r="X272" s="354"/>
      <c r="Y272" s="925"/>
    </row>
    <row r="273" spans="1:25" ht="24" x14ac:dyDescent="0.55000000000000004">
      <c r="A273" s="68"/>
      <c r="B273" s="68"/>
      <c r="C273" s="68"/>
      <c r="D273" s="68"/>
      <c r="E273" s="68"/>
      <c r="F273" s="354"/>
      <c r="G273" s="354"/>
      <c r="H273" s="354"/>
      <c r="I273" s="354"/>
      <c r="J273" s="354"/>
      <c r="K273" s="354"/>
      <c r="L273" s="354"/>
      <c r="M273" s="354"/>
      <c r="N273" s="354"/>
      <c r="O273" s="354"/>
      <c r="P273" s="354"/>
      <c r="Q273" s="354"/>
      <c r="R273" s="354"/>
      <c r="S273" s="354"/>
      <c r="T273" s="354"/>
      <c r="U273" s="354"/>
      <c r="V273" s="354"/>
      <c r="W273" s="354"/>
      <c r="X273" s="354"/>
      <c r="Y273" s="925"/>
    </row>
    <row r="274" spans="1:25" ht="24" x14ac:dyDescent="0.55000000000000004">
      <c r="A274" s="68"/>
      <c r="B274" s="68"/>
      <c r="C274" s="68"/>
      <c r="D274" s="68"/>
      <c r="E274" s="68"/>
      <c r="F274" s="354"/>
      <c r="G274" s="354"/>
      <c r="H274" s="354"/>
      <c r="I274" s="354"/>
      <c r="J274" s="354"/>
      <c r="K274" s="354"/>
      <c r="L274" s="354"/>
      <c r="M274" s="354"/>
      <c r="N274" s="354"/>
      <c r="O274" s="354"/>
      <c r="P274" s="354"/>
      <c r="Q274" s="354"/>
      <c r="R274" s="354"/>
      <c r="S274" s="354"/>
      <c r="T274" s="354"/>
      <c r="U274" s="354"/>
      <c r="V274" s="354"/>
      <c r="W274" s="354"/>
      <c r="X274" s="354"/>
      <c r="Y274" s="925"/>
    </row>
    <row r="275" spans="1:25" ht="24" x14ac:dyDescent="0.55000000000000004">
      <c r="A275" s="68"/>
      <c r="B275" s="68"/>
      <c r="C275" s="68"/>
      <c r="D275" s="68"/>
      <c r="E275" s="68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4"/>
      <c r="R275" s="354"/>
      <c r="S275" s="354"/>
      <c r="T275" s="354"/>
      <c r="U275" s="354"/>
      <c r="V275" s="354"/>
      <c r="W275" s="354"/>
      <c r="X275" s="354"/>
      <c r="Y275" s="925"/>
    </row>
    <row r="276" spans="1:25" ht="24" x14ac:dyDescent="0.55000000000000004">
      <c r="A276" s="68"/>
      <c r="B276" s="68"/>
      <c r="C276" s="68"/>
      <c r="D276" s="68"/>
      <c r="E276" s="68"/>
      <c r="F276" s="354"/>
      <c r="G276" s="354"/>
      <c r="H276" s="354"/>
      <c r="I276" s="354"/>
      <c r="J276" s="354"/>
      <c r="K276" s="354"/>
      <c r="L276" s="354"/>
      <c r="M276" s="354"/>
      <c r="N276" s="354"/>
      <c r="O276" s="354"/>
      <c r="P276" s="354"/>
      <c r="Q276" s="354"/>
      <c r="R276" s="354"/>
      <c r="S276" s="354"/>
      <c r="T276" s="354"/>
      <c r="U276" s="354"/>
      <c r="V276" s="354"/>
      <c r="W276" s="354"/>
      <c r="X276" s="354"/>
      <c r="Y276" s="925"/>
    </row>
    <row r="277" spans="1:25" ht="24" x14ac:dyDescent="0.55000000000000004">
      <c r="A277" s="68"/>
      <c r="B277" s="68"/>
      <c r="C277" s="68"/>
      <c r="D277" s="68"/>
      <c r="E277" s="68"/>
      <c r="F277" s="354"/>
      <c r="G277" s="354"/>
      <c r="H277" s="354"/>
      <c r="I277" s="354"/>
      <c r="J277" s="354"/>
      <c r="K277" s="354"/>
      <c r="L277" s="354"/>
      <c r="M277" s="354"/>
      <c r="N277" s="354"/>
      <c r="O277" s="354"/>
      <c r="P277" s="354"/>
      <c r="Q277" s="354"/>
      <c r="R277" s="354"/>
      <c r="S277" s="354"/>
      <c r="T277" s="354"/>
      <c r="U277" s="354"/>
      <c r="V277" s="354"/>
      <c r="W277" s="354"/>
      <c r="X277" s="354"/>
      <c r="Y277" s="925"/>
    </row>
    <row r="278" spans="1:25" ht="24" x14ac:dyDescent="0.55000000000000004">
      <c r="A278" s="68"/>
      <c r="B278" s="68"/>
      <c r="C278" s="68"/>
      <c r="D278" s="68"/>
      <c r="E278" s="68"/>
      <c r="F278" s="354"/>
      <c r="G278" s="354"/>
      <c r="H278" s="354"/>
      <c r="I278" s="354"/>
      <c r="J278" s="354"/>
      <c r="K278" s="354"/>
      <c r="L278" s="354"/>
      <c r="M278" s="354"/>
      <c r="N278" s="354"/>
      <c r="O278" s="354"/>
      <c r="P278" s="354"/>
      <c r="Q278" s="354"/>
      <c r="R278" s="354"/>
      <c r="S278" s="354"/>
      <c r="T278" s="354"/>
      <c r="U278" s="354"/>
      <c r="V278" s="354"/>
      <c r="W278" s="354"/>
      <c r="X278" s="354"/>
      <c r="Y278" s="925"/>
    </row>
    <row r="279" spans="1:25" ht="24" x14ac:dyDescent="0.55000000000000004">
      <c r="A279" s="68"/>
      <c r="B279" s="68"/>
      <c r="C279" s="68"/>
      <c r="D279" s="68"/>
      <c r="E279" s="68"/>
      <c r="F279" s="354"/>
      <c r="G279" s="354"/>
      <c r="H279" s="354"/>
      <c r="I279" s="354"/>
      <c r="J279" s="354"/>
      <c r="K279" s="354"/>
      <c r="L279" s="354"/>
      <c r="M279" s="354"/>
      <c r="N279" s="354"/>
      <c r="O279" s="354"/>
      <c r="P279" s="354"/>
      <c r="Q279" s="354"/>
      <c r="R279" s="354"/>
      <c r="S279" s="354"/>
      <c r="T279" s="354"/>
      <c r="U279" s="354"/>
      <c r="V279" s="354"/>
      <c r="W279" s="354"/>
      <c r="X279" s="354"/>
      <c r="Y279" s="925"/>
    </row>
    <row r="280" spans="1:25" ht="24" x14ac:dyDescent="0.55000000000000004">
      <c r="A280" s="68"/>
      <c r="B280" s="68"/>
      <c r="C280" s="68"/>
      <c r="D280" s="68"/>
      <c r="E280" s="68"/>
      <c r="F280" s="354"/>
      <c r="G280" s="354"/>
      <c r="H280" s="354"/>
      <c r="I280" s="354"/>
      <c r="J280" s="354"/>
      <c r="K280" s="354"/>
      <c r="L280" s="354"/>
      <c r="M280" s="354"/>
      <c r="N280" s="354"/>
      <c r="O280" s="354"/>
      <c r="P280" s="354"/>
      <c r="Q280" s="354"/>
      <c r="R280" s="354"/>
      <c r="S280" s="354"/>
      <c r="T280" s="354"/>
      <c r="U280" s="354"/>
      <c r="V280" s="354"/>
      <c r="W280" s="354"/>
      <c r="X280" s="354"/>
      <c r="Y280" s="925"/>
    </row>
    <row r="281" spans="1:25" ht="24" x14ac:dyDescent="0.55000000000000004">
      <c r="A281" s="68"/>
      <c r="B281" s="68"/>
      <c r="C281" s="68"/>
      <c r="D281" s="68"/>
      <c r="E281" s="68"/>
      <c r="F281" s="354"/>
      <c r="G281" s="354"/>
      <c r="H281" s="354"/>
      <c r="I281" s="354"/>
      <c r="J281" s="354"/>
      <c r="K281" s="354"/>
      <c r="L281" s="354"/>
      <c r="M281" s="354"/>
      <c r="N281" s="354"/>
      <c r="O281" s="354"/>
      <c r="P281" s="354"/>
      <c r="Q281" s="354"/>
      <c r="R281" s="354"/>
      <c r="S281" s="354"/>
      <c r="T281" s="354"/>
      <c r="U281" s="354"/>
      <c r="V281" s="354"/>
      <c r="W281" s="354"/>
      <c r="X281" s="354"/>
      <c r="Y281" s="925"/>
    </row>
    <row r="282" spans="1:25" ht="24" x14ac:dyDescent="0.55000000000000004">
      <c r="A282" s="68"/>
      <c r="B282" s="68"/>
      <c r="C282" s="68"/>
      <c r="D282" s="68"/>
      <c r="E282" s="68"/>
      <c r="F282" s="354"/>
      <c r="G282" s="354"/>
      <c r="H282" s="354"/>
      <c r="I282" s="354"/>
      <c r="J282" s="354"/>
      <c r="K282" s="354"/>
      <c r="L282" s="354"/>
      <c r="M282" s="354"/>
      <c r="N282" s="354"/>
      <c r="O282" s="354"/>
      <c r="P282" s="354"/>
      <c r="Q282" s="354"/>
      <c r="R282" s="354"/>
      <c r="S282" s="354"/>
      <c r="T282" s="354"/>
      <c r="U282" s="354"/>
      <c r="V282" s="354"/>
      <c r="W282" s="354"/>
      <c r="X282" s="354"/>
      <c r="Y282" s="925"/>
    </row>
    <row r="283" spans="1:25" ht="24" x14ac:dyDescent="0.55000000000000004">
      <c r="A283" s="68"/>
      <c r="B283" s="68"/>
      <c r="C283" s="68"/>
      <c r="D283" s="68"/>
      <c r="E283" s="68"/>
      <c r="F283" s="354"/>
      <c r="G283" s="354"/>
      <c r="H283" s="354"/>
      <c r="I283" s="354"/>
      <c r="J283" s="354"/>
      <c r="K283" s="354"/>
      <c r="L283" s="354"/>
      <c r="M283" s="354"/>
      <c r="N283" s="354"/>
      <c r="O283" s="354"/>
      <c r="P283" s="354"/>
      <c r="Q283" s="354"/>
      <c r="R283" s="354"/>
      <c r="S283" s="354"/>
      <c r="T283" s="354"/>
      <c r="U283" s="354"/>
      <c r="V283" s="354"/>
      <c r="W283" s="354"/>
      <c r="X283" s="354"/>
      <c r="Y283" s="925"/>
    </row>
    <row r="284" spans="1:25" ht="24" x14ac:dyDescent="0.55000000000000004">
      <c r="A284" s="68"/>
      <c r="B284" s="68"/>
      <c r="C284" s="68"/>
      <c r="D284" s="68"/>
      <c r="E284" s="68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4"/>
      <c r="R284" s="354"/>
      <c r="S284" s="354"/>
      <c r="T284" s="354"/>
      <c r="U284" s="354"/>
      <c r="V284" s="354"/>
      <c r="W284" s="354"/>
      <c r="X284" s="354"/>
      <c r="Y284" s="925"/>
    </row>
    <row r="285" spans="1:25" ht="24" x14ac:dyDescent="0.55000000000000004">
      <c r="A285" s="68"/>
      <c r="B285" s="68"/>
      <c r="C285" s="68"/>
      <c r="D285" s="68"/>
      <c r="E285" s="68"/>
      <c r="F285" s="354"/>
      <c r="G285" s="354"/>
      <c r="H285" s="354"/>
      <c r="I285" s="354"/>
      <c r="J285" s="354"/>
      <c r="K285" s="354"/>
      <c r="L285" s="354"/>
      <c r="M285" s="354"/>
      <c r="N285" s="354"/>
      <c r="O285" s="354"/>
      <c r="P285" s="354"/>
      <c r="Q285" s="354"/>
      <c r="R285" s="354"/>
      <c r="S285" s="354"/>
      <c r="T285" s="354"/>
      <c r="U285" s="354"/>
      <c r="V285" s="354"/>
      <c r="W285" s="354"/>
      <c r="X285" s="354"/>
      <c r="Y285" s="925"/>
    </row>
    <row r="286" spans="1:25" ht="24" x14ac:dyDescent="0.55000000000000004">
      <c r="A286" s="68"/>
      <c r="B286" s="68"/>
      <c r="C286" s="68"/>
      <c r="D286" s="68"/>
      <c r="E286" s="68"/>
      <c r="F286" s="354"/>
      <c r="G286" s="354"/>
      <c r="H286" s="354"/>
      <c r="I286" s="354"/>
      <c r="J286" s="354"/>
      <c r="K286" s="354"/>
      <c r="L286" s="354"/>
      <c r="M286" s="354"/>
      <c r="N286" s="354"/>
      <c r="O286" s="354"/>
      <c r="P286" s="354"/>
      <c r="Q286" s="354"/>
      <c r="R286" s="354"/>
      <c r="S286" s="354"/>
      <c r="T286" s="354"/>
      <c r="U286" s="354"/>
      <c r="V286" s="354"/>
      <c r="W286" s="354"/>
      <c r="X286" s="354"/>
      <c r="Y286" s="925"/>
    </row>
    <row r="287" spans="1:25" ht="24" x14ac:dyDescent="0.55000000000000004">
      <c r="A287" s="68"/>
      <c r="B287" s="68"/>
      <c r="C287" s="68"/>
      <c r="D287" s="68"/>
      <c r="E287" s="68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354"/>
      <c r="Q287" s="354"/>
      <c r="R287" s="354"/>
      <c r="S287" s="354"/>
      <c r="T287" s="354"/>
      <c r="U287" s="354"/>
      <c r="V287" s="354"/>
      <c r="W287" s="354"/>
      <c r="X287" s="354"/>
      <c r="Y287" s="925"/>
    </row>
    <row r="288" spans="1:25" ht="24" x14ac:dyDescent="0.55000000000000004">
      <c r="A288" s="68"/>
      <c r="B288" s="68"/>
      <c r="C288" s="68"/>
      <c r="D288" s="68"/>
      <c r="E288" s="68"/>
      <c r="F288" s="354"/>
      <c r="G288" s="354"/>
      <c r="H288" s="354"/>
      <c r="I288" s="354"/>
      <c r="J288" s="354"/>
      <c r="K288" s="354"/>
      <c r="L288" s="354"/>
      <c r="M288" s="354"/>
      <c r="N288" s="354"/>
      <c r="O288" s="354"/>
      <c r="P288" s="354"/>
      <c r="Q288" s="354"/>
      <c r="R288" s="354"/>
      <c r="S288" s="354"/>
      <c r="T288" s="354"/>
      <c r="U288" s="354"/>
      <c r="V288" s="354"/>
      <c r="W288" s="354"/>
      <c r="X288" s="354"/>
      <c r="Y288" s="925"/>
    </row>
    <row r="289" spans="1:25" ht="24" x14ac:dyDescent="0.55000000000000004">
      <c r="A289" s="68"/>
      <c r="B289" s="68"/>
      <c r="C289" s="68"/>
      <c r="D289" s="68"/>
      <c r="E289" s="68"/>
      <c r="F289" s="354"/>
      <c r="G289" s="354"/>
      <c r="H289" s="354"/>
      <c r="I289" s="354"/>
      <c r="J289" s="354"/>
      <c r="K289" s="354"/>
      <c r="L289" s="354"/>
      <c r="M289" s="354"/>
      <c r="N289" s="354"/>
      <c r="O289" s="354"/>
      <c r="P289" s="354"/>
      <c r="Q289" s="354"/>
      <c r="R289" s="354"/>
      <c r="S289" s="354"/>
      <c r="T289" s="354"/>
      <c r="U289" s="354"/>
      <c r="V289" s="354"/>
      <c r="W289" s="354"/>
      <c r="X289" s="354"/>
      <c r="Y289" s="925"/>
    </row>
    <row r="290" spans="1:25" ht="24" x14ac:dyDescent="0.55000000000000004">
      <c r="A290" s="68"/>
      <c r="B290" s="68"/>
      <c r="C290" s="68"/>
      <c r="D290" s="68"/>
      <c r="E290" s="68"/>
      <c r="F290" s="354"/>
      <c r="G290" s="354"/>
      <c r="H290" s="354"/>
      <c r="I290" s="354"/>
      <c r="J290" s="354"/>
      <c r="K290" s="354"/>
      <c r="L290" s="354"/>
      <c r="M290" s="354"/>
      <c r="N290" s="354"/>
      <c r="O290" s="354"/>
      <c r="P290" s="354"/>
      <c r="Q290" s="354"/>
      <c r="R290" s="354"/>
      <c r="S290" s="354"/>
      <c r="T290" s="354"/>
      <c r="U290" s="354"/>
      <c r="V290" s="354"/>
      <c r="W290" s="354"/>
      <c r="X290" s="354"/>
      <c r="Y290" s="925"/>
    </row>
    <row r="291" spans="1:25" ht="24" x14ac:dyDescent="0.55000000000000004">
      <c r="A291" s="68"/>
      <c r="B291" s="68"/>
      <c r="C291" s="68"/>
      <c r="D291" s="68"/>
      <c r="E291" s="68"/>
      <c r="F291" s="354"/>
      <c r="G291" s="354"/>
      <c r="H291" s="354"/>
      <c r="I291" s="354"/>
      <c r="J291" s="354"/>
      <c r="K291" s="354"/>
      <c r="L291" s="354"/>
      <c r="M291" s="354"/>
      <c r="N291" s="354"/>
      <c r="O291" s="354"/>
      <c r="P291" s="354"/>
      <c r="Q291" s="354"/>
      <c r="R291" s="354"/>
      <c r="S291" s="354"/>
      <c r="T291" s="354"/>
      <c r="U291" s="354"/>
      <c r="V291" s="354"/>
      <c r="W291" s="354"/>
      <c r="X291" s="354"/>
      <c r="Y291" s="925"/>
    </row>
    <row r="292" spans="1:25" ht="24" x14ac:dyDescent="0.55000000000000004">
      <c r="A292" s="68"/>
      <c r="B292" s="68"/>
      <c r="C292" s="68"/>
      <c r="D292" s="68"/>
      <c r="E292" s="68"/>
      <c r="F292" s="354"/>
      <c r="G292" s="354"/>
      <c r="H292" s="354"/>
      <c r="I292" s="354"/>
      <c r="J292" s="354"/>
      <c r="K292" s="354"/>
      <c r="L292" s="354"/>
      <c r="M292" s="354"/>
      <c r="N292" s="354"/>
      <c r="O292" s="354"/>
      <c r="P292" s="354"/>
      <c r="Q292" s="354"/>
      <c r="R292" s="354"/>
      <c r="S292" s="354"/>
      <c r="T292" s="354"/>
      <c r="U292" s="354"/>
      <c r="V292" s="354"/>
      <c r="W292" s="354"/>
      <c r="X292" s="354"/>
      <c r="Y292" s="925"/>
    </row>
    <row r="293" spans="1:25" ht="24" x14ac:dyDescent="0.55000000000000004">
      <c r="A293" s="68"/>
      <c r="B293" s="68"/>
      <c r="C293" s="68"/>
      <c r="D293" s="68"/>
      <c r="E293" s="68"/>
      <c r="F293" s="354"/>
      <c r="G293" s="354"/>
      <c r="H293" s="354"/>
      <c r="I293" s="354"/>
      <c r="J293" s="354"/>
      <c r="K293" s="354"/>
      <c r="L293" s="354"/>
      <c r="M293" s="354"/>
      <c r="N293" s="354"/>
      <c r="O293" s="354"/>
      <c r="P293" s="354"/>
      <c r="Q293" s="354"/>
      <c r="R293" s="354"/>
      <c r="S293" s="354"/>
      <c r="T293" s="354"/>
      <c r="U293" s="354"/>
      <c r="V293" s="354"/>
      <c r="W293" s="354"/>
      <c r="X293" s="354"/>
      <c r="Y293" s="925"/>
    </row>
    <row r="294" spans="1:25" ht="24" x14ac:dyDescent="0.55000000000000004">
      <c r="A294" s="68"/>
      <c r="B294" s="68"/>
      <c r="C294" s="68"/>
      <c r="D294" s="68"/>
      <c r="E294" s="68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4"/>
      <c r="R294" s="354"/>
      <c r="S294" s="354"/>
      <c r="T294" s="354"/>
      <c r="U294" s="354"/>
      <c r="V294" s="354"/>
      <c r="W294" s="354"/>
      <c r="X294" s="354"/>
      <c r="Y294" s="925"/>
    </row>
    <row r="295" spans="1:25" ht="24" x14ac:dyDescent="0.55000000000000004">
      <c r="A295" s="68"/>
      <c r="B295" s="68"/>
      <c r="C295" s="68"/>
      <c r="D295" s="68"/>
      <c r="E295" s="68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4"/>
      <c r="R295" s="354"/>
      <c r="S295" s="354"/>
      <c r="T295" s="354"/>
      <c r="U295" s="354"/>
      <c r="V295" s="354"/>
      <c r="W295" s="354"/>
      <c r="X295" s="354"/>
      <c r="Y295" s="925"/>
    </row>
    <row r="296" spans="1:25" ht="24" x14ac:dyDescent="0.55000000000000004">
      <c r="A296" s="68"/>
      <c r="B296" s="68"/>
      <c r="C296" s="68"/>
      <c r="D296" s="68"/>
      <c r="E296" s="68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4"/>
      <c r="R296" s="354"/>
      <c r="S296" s="354"/>
      <c r="T296" s="354"/>
      <c r="U296" s="354"/>
      <c r="V296" s="354"/>
      <c r="W296" s="354"/>
      <c r="X296" s="354"/>
      <c r="Y296" s="925"/>
    </row>
    <row r="297" spans="1:25" ht="24" x14ac:dyDescent="0.55000000000000004">
      <c r="A297" s="68"/>
      <c r="B297" s="68"/>
      <c r="C297" s="68"/>
      <c r="D297" s="68"/>
      <c r="E297" s="68"/>
      <c r="F297" s="354"/>
      <c r="G297" s="354"/>
      <c r="H297" s="354"/>
      <c r="I297" s="354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354"/>
      <c r="Y297" s="925"/>
    </row>
    <row r="298" spans="1:25" ht="24" x14ac:dyDescent="0.55000000000000004">
      <c r="A298" s="68"/>
      <c r="B298" s="68"/>
      <c r="C298" s="68"/>
      <c r="D298" s="68"/>
      <c r="E298" s="68"/>
      <c r="F298" s="354"/>
      <c r="G298" s="354"/>
      <c r="H298" s="354"/>
      <c r="I298" s="354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354"/>
      <c r="Y298" s="925"/>
    </row>
    <row r="299" spans="1:25" ht="24" x14ac:dyDescent="0.55000000000000004">
      <c r="A299" s="68"/>
      <c r="B299" s="68"/>
      <c r="C299" s="68"/>
      <c r="D299" s="68"/>
      <c r="E299" s="68"/>
      <c r="F299" s="354"/>
      <c r="G299" s="354"/>
      <c r="H299" s="354"/>
      <c r="I299" s="354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354"/>
      <c r="Y299" s="925"/>
    </row>
    <row r="300" spans="1:25" ht="24" x14ac:dyDescent="0.55000000000000004">
      <c r="A300" s="68"/>
      <c r="B300" s="68"/>
      <c r="C300" s="68"/>
      <c r="D300" s="68"/>
      <c r="E300" s="68"/>
      <c r="F300" s="354"/>
      <c r="G300" s="354"/>
      <c r="H300" s="354"/>
      <c r="I300" s="354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354"/>
      <c r="Y300" s="925"/>
    </row>
    <row r="301" spans="1:25" ht="24" x14ac:dyDescent="0.55000000000000004">
      <c r="A301" s="68"/>
      <c r="B301" s="68"/>
      <c r="C301" s="68"/>
      <c r="D301" s="68"/>
      <c r="E301" s="68"/>
      <c r="F301" s="354"/>
      <c r="G301" s="354"/>
      <c r="H301" s="354"/>
      <c r="I301" s="354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354"/>
      <c r="Y301" s="925"/>
    </row>
    <row r="302" spans="1:25" ht="24" x14ac:dyDescent="0.55000000000000004">
      <c r="A302" s="68"/>
      <c r="B302" s="68"/>
      <c r="C302" s="68"/>
      <c r="D302" s="68"/>
      <c r="E302" s="68"/>
      <c r="F302" s="354"/>
      <c r="G302" s="354"/>
      <c r="H302" s="354"/>
      <c r="I302" s="354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354"/>
      <c r="Y302" s="925"/>
    </row>
    <row r="303" spans="1:25" ht="24" x14ac:dyDescent="0.55000000000000004">
      <c r="A303" s="68"/>
      <c r="B303" s="68"/>
      <c r="C303" s="68"/>
      <c r="D303" s="68"/>
      <c r="E303" s="68"/>
      <c r="F303" s="354"/>
      <c r="G303" s="354"/>
      <c r="H303" s="354"/>
      <c r="I303" s="354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354"/>
      <c r="Y303" s="925"/>
    </row>
    <row r="304" spans="1:25" ht="24" x14ac:dyDescent="0.55000000000000004">
      <c r="A304" s="68"/>
      <c r="B304" s="68"/>
      <c r="C304" s="68"/>
      <c r="D304" s="68"/>
      <c r="E304" s="68"/>
      <c r="F304" s="354"/>
      <c r="G304" s="354"/>
      <c r="H304" s="354"/>
      <c r="I304" s="354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354"/>
      <c r="Y304" s="925"/>
    </row>
    <row r="305" spans="1:25" ht="24" x14ac:dyDescent="0.55000000000000004">
      <c r="A305" s="68"/>
      <c r="B305" s="68"/>
      <c r="C305" s="68"/>
      <c r="D305" s="68"/>
      <c r="E305" s="68"/>
      <c r="F305" s="354"/>
      <c r="G305" s="354"/>
      <c r="H305" s="354"/>
      <c r="I305" s="354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354"/>
      <c r="Y305" s="925"/>
    </row>
    <row r="306" spans="1:25" ht="24" x14ac:dyDescent="0.55000000000000004">
      <c r="A306" s="68"/>
      <c r="B306" s="68"/>
      <c r="C306" s="68"/>
      <c r="D306" s="68"/>
      <c r="E306" s="68"/>
      <c r="F306" s="354"/>
      <c r="G306" s="354"/>
      <c r="H306" s="354"/>
      <c r="I306" s="354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354"/>
      <c r="Y306" s="925"/>
    </row>
    <row r="307" spans="1:25" ht="24" x14ac:dyDescent="0.55000000000000004">
      <c r="A307" s="68"/>
      <c r="B307" s="68"/>
      <c r="C307" s="68"/>
      <c r="D307" s="68"/>
      <c r="E307" s="68"/>
      <c r="F307" s="354"/>
      <c r="G307" s="354"/>
      <c r="H307" s="354"/>
      <c r="I307" s="354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354"/>
      <c r="Y307" s="925"/>
    </row>
    <row r="308" spans="1:25" ht="24" x14ac:dyDescent="0.55000000000000004">
      <c r="A308" s="68"/>
      <c r="B308" s="68"/>
      <c r="C308" s="68"/>
      <c r="D308" s="68"/>
      <c r="E308" s="68"/>
      <c r="F308" s="354"/>
      <c r="G308" s="354"/>
      <c r="H308" s="354"/>
      <c r="I308" s="354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354"/>
      <c r="Y308" s="925"/>
    </row>
    <row r="309" spans="1:25" ht="24" x14ac:dyDescent="0.55000000000000004">
      <c r="A309" s="68"/>
      <c r="B309" s="68"/>
      <c r="C309" s="68"/>
      <c r="D309" s="68"/>
      <c r="E309" s="68"/>
      <c r="F309" s="354"/>
      <c r="G309" s="354"/>
      <c r="H309" s="354"/>
      <c r="I309" s="354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354"/>
      <c r="Y309" s="925"/>
    </row>
    <row r="310" spans="1:25" ht="24" x14ac:dyDescent="0.55000000000000004">
      <c r="A310" s="68"/>
      <c r="B310" s="68"/>
      <c r="C310" s="68"/>
      <c r="D310" s="68"/>
      <c r="E310" s="68"/>
      <c r="F310" s="354"/>
      <c r="G310" s="354"/>
      <c r="H310" s="354"/>
      <c r="I310" s="354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354"/>
      <c r="Y310" s="925"/>
    </row>
    <row r="311" spans="1:25" ht="24" x14ac:dyDescent="0.55000000000000004">
      <c r="A311" s="68"/>
      <c r="B311" s="68"/>
      <c r="C311" s="68"/>
      <c r="D311" s="68"/>
      <c r="E311" s="68"/>
      <c r="F311" s="354"/>
      <c r="G311" s="354"/>
      <c r="H311" s="354"/>
      <c r="I311" s="354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354"/>
      <c r="Y311" s="925"/>
    </row>
    <row r="312" spans="1:25" ht="24" x14ac:dyDescent="0.55000000000000004">
      <c r="A312" s="68"/>
      <c r="B312" s="68"/>
      <c r="C312" s="68"/>
      <c r="D312" s="68"/>
      <c r="E312" s="68"/>
      <c r="F312" s="354"/>
      <c r="G312" s="354"/>
      <c r="H312" s="354"/>
      <c r="I312" s="354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354"/>
      <c r="Y312" s="925"/>
    </row>
    <row r="313" spans="1:25" ht="24" x14ac:dyDescent="0.55000000000000004">
      <c r="A313" s="68"/>
      <c r="B313" s="68"/>
      <c r="C313" s="68"/>
      <c r="D313" s="68"/>
      <c r="E313" s="68"/>
      <c r="F313" s="354"/>
      <c r="G313" s="354"/>
      <c r="H313" s="354"/>
      <c r="I313" s="354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354"/>
      <c r="Y313" s="925"/>
    </row>
    <row r="314" spans="1:25" ht="24" x14ac:dyDescent="0.55000000000000004">
      <c r="A314" s="68"/>
      <c r="B314" s="68"/>
      <c r="C314" s="68"/>
      <c r="D314" s="68"/>
      <c r="E314" s="68"/>
      <c r="F314" s="354"/>
      <c r="G314" s="354"/>
      <c r="H314" s="354"/>
      <c r="I314" s="354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354"/>
      <c r="Y314" s="925"/>
    </row>
    <row r="315" spans="1:25" ht="24" x14ac:dyDescent="0.55000000000000004">
      <c r="A315" s="68"/>
      <c r="B315" s="68"/>
      <c r="C315" s="68"/>
      <c r="D315" s="68"/>
      <c r="E315" s="68"/>
      <c r="F315" s="354"/>
      <c r="G315" s="354"/>
      <c r="H315" s="354"/>
      <c r="I315" s="354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354"/>
      <c r="Y315" s="925"/>
    </row>
    <row r="316" spans="1:25" ht="24" x14ac:dyDescent="0.55000000000000004">
      <c r="A316" s="68"/>
      <c r="B316" s="68"/>
      <c r="C316" s="68"/>
      <c r="D316" s="68"/>
      <c r="E316" s="68"/>
      <c r="F316" s="354"/>
      <c r="G316" s="354"/>
      <c r="H316" s="354"/>
      <c r="I316" s="354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354"/>
      <c r="Y316" s="925"/>
    </row>
    <row r="317" spans="1:25" ht="24" x14ac:dyDescent="0.55000000000000004">
      <c r="A317" s="68"/>
      <c r="B317" s="68"/>
      <c r="C317" s="68"/>
      <c r="D317" s="68"/>
      <c r="E317" s="68"/>
      <c r="F317" s="354"/>
      <c r="G317" s="354"/>
      <c r="H317" s="354"/>
      <c r="I317" s="354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354"/>
      <c r="Y317" s="925"/>
    </row>
    <row r="318" spans="1:25" ht="24" x14ac:dyDescent="0.55000000000000004">
      <c r="A318" s="68"/>
      <c r="B318" s="68"/>
      <c r="C318" s="68"/>
      <c r="D318" s="68"/>
      <c r="E318" s="68"/>
      <c r="F318" s="354"/>
      <c r="G318" s="354"/>
      <c r="H318" s="354"/>
      <c r="I318" s="354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354"/>
      <c r="Y318" s="925"/>
    </row>
    <row r="319" spans="1:25" ht="24" x14ac:dyDescent="0.55000000000000004">
      <c r="A319" s="68"/>
      <c r="B319" s="68"/>
      <c r="C319" s="68"/>
      <c r="D319" s="68"/>
      <c r="E319" s="68"/>
      <c r="F319" s="354"/>
      <c r="G319" s="354"/>
      <c r="H319" s="354"/>
      <c r="I319" s="354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354"/>
      <c r="Y319" s="925"/>
    </row>
    <row r="320" spans="1:25" ht="24" x14ac:dyDescent="0.55000000000000004">
      <c r="A320" s="68"/>
      <c r="B320" s="68"/>
      <c r="C320" s="68"/>
      <c r="D320" s="68"/>
      <c r="E320" s="68"/>
      <c r="F320" s="354"/>
      <c r="G320" s="354"/>
      <c r="H320" s="354"/>
      <c r="I320" s="354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354"/>
      <c r="Y320" s="925"/>
    </row>
    <row r="321" spans="1:25" ht="24" x14ac:dyDescent="0.55000000000000004">
      <c r="A321" s="68"/>
      <c r="B321" s="68"/>
      <c r="C321" s="68"/>
      <c r="D321" s="68"/>
      <c r="E321" s="68"/>
      <c r="F321" s="354"/>
      <c r="G321" s="354"/>
      <c r="H321" s="354"/>
      <c r="I321" s="354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354"/>
      <c r="Y321" s="925"/>
    </row>
    <row r="322" spans="1:25" ht="24" x14ac:dyDescent="0.55000000000000004">
      <c r="A322" s="68"/>
      <c r="B322" s="68"/>
      <c r="C322" s="68"/>
      <c r="D322" s="68"/>
      <c r="E322" s="68"/>
      <c r="F322" s="354"/>
      <c r="G322" s="354"/>
      <c r="H322" s="354"/>
      <c r="I322" s="354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354"/>
      <c r="Y322" s="925"/>
    </row>
    <row r="323" spans="1:25" ht="24" x14ac:dyDescent="0.55000000000000004">
      <c r="A323" s="68"/>
      <c r="B323" s="68"/>
      <c r="C323" s="68"/>
      <c r="D323" s="68"/>
      <c r="E323" s="68"/>
      <c r="F323" s="354"/>
      <c r="G323" s="354"/>
      <c r="H323" s="354"/>
      <c r="I323" s="354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354"/>
      <c r="Y323" s="925"/>
    </row>
    <row r="324" spans="1:25" ht="24" x14ac:dyDescent="0.55000000000000004">
      <c r="A324" s="68"/>
      <c r="B324" s="68"/>
      <c r="C324" s="68"/>
      <c r="D324" s="68"/>
      <c r="E324" s="68"/>
      <c r="F324" s="354"/>
      <c r="G324" s="354"/>
      <c r="H324" s="354"/>
      <c r="I324" s="354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354"/>
      <c r="Y324" s="925"/>
    </row>
    <row r="325" spans="1:25" ht="24" x14ac:dyDescent="0.55000000000000004">
      <c r="A325" s="68"/>
      <c r="B325" s="68"/>
      <c r="C325" s="68"/>
      <c r="D325" s="68"/>
      <c r="E325" s="68"/>
      <c r="F325" s="354"/>
      <c r="G325" s="354"/>
      <c r="H325" s="354"/>
      <c r="I325" s="354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354"/>
      <c r="Y325" s="925"/>
    </row>
    <row r="326" spans="1:25" ht="24" x14ac:dyDescent="0.55000000000000004">
      <c r="A326" s="68"/>
      <c r="B326" s="68"/>
      <c r="C326" s="68"/>
      <c r="D326" s="68"/>
      <c r="E326" s="68"/>
      <c r="F326" s="354"/>
      <c r="G326" s="354"/>
      <c r="H326" s="354"/>
      <c r="I326" s="354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354"/>
      <c r="Y326" s="925"/>
    </row>
    <row r="327" spans="1:25" ht="24" x14ac:dyDescent="0.55000000000000004">
      <c r="A327" s="68"/>
      <c r="B327" s="68"/>
      <c r="C327" s="68"/>
      <c r="D327" s="68"/>
      <c r="E327" s="68"/>
      <c r="F327" s="354"/>
      <c r="G327" s="354"/>
      <c r="H327" s="354"/>
      <c r="I327" s="354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354"/>
      <c r="Y327" s="925"/>
    </row>
    <row r="328" spans="1:25" ht="24" x14ac:dyDescent="0.55000000000000004">
      <c r="A328" s="68"/>
      <c r="B328" s="68"/>
      <c r="C328" s="68"/>
      <c r="D328" s="68"/>
      <c r="E328" s="68"/>
      <c r="F328" s="354"/>
      <c r="G328" s="354"/>
      <c r="H328" s="354"/>
      <c r="I328" s="354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354"/>
      <c r="Y328" s="925"/>
    </row>
    <row r="329" spans="1:25" ht="24" x14ac:dyDescent="0.55000000000000004">
      <c r="A329" s="68"/>
      <c r="B329" s="68"/>
      <c r="C329" s="68"/>
      <c r="D329" s="68"/>
      <c r="E329" s="68"/>
      <c r="F329" s="354"/>
      <c r="G329" s="354"/>
      <c r="H329" s="354"/>
      <c r="I329" s="354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354"/>
      <c r="Y329" s="925"/>
    </row>
    <row r="330" spans="1:25" ht="24" x14ac:dyDescent="0.55000000000000004">
      <c r="A330" s="68"/>
      <c r="B330" s="68"/>
      <c r="C330" s="68"/>
      <c r="D330" s="68"/>
      <c r="E330" s="68"/>
      <c r="F330" s="354"/>
      <c r="G330" s="354"/>
      <c r="H330" s="354"/>
      <c r="I330" s="354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354"/>
      <c r="Y330" s="925"/>
    </row>
    <row r="331" spans="1:25" ht="24" x14ac:dyDescent="0.55000000000000004">
      <c r="A331" s="68"/>
      <c r="B331" s="68"/>
      <c r="C331" s="68"/>
      <c r="D331" s="68"/>
      <c r="E331" s="68"/>
      <c r="F331" s="354"/>
      <c r="G331" s="354"/>
      <c r="H331" s="354"/>
      <c r="I331" s="354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354"/>
      <c r="Y331" s="925"/>
    </row>
    <row r="332" spans="1:25" ht="24" x14ac:dyDescent="0.55000000000000004">
      <c r="A332" s="68"/>
      <c r="B332" s="68"/>
      <c r="C332" s="68"/>
      <c r="D332" s="68"/>
      <c r="E332" s="68"/>
      <c r="F332" s="354"/>
      <c r="G332" s="354"/>
      <c r="H332" s="354"/>
      <c r="I332" s="354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354"/>
      <c r="Y332" s="925"/>
    </row>
    <row r="333" spans="1:25" ht="24" x14ac:dyDescent="0.55000000000000004">
      <c r="A333" s="68"/>
      <c r="B333" s="68"/>
      <c r="C333" s="68"/>
      <c r="D333" s="68"/>
      <c r="E333" s="68"/>
      <c r="F333" s="354"/>
      <c r="G333" s="354"/>
      <c r="H333" s="354"/>
      <c r="I333" s="354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354"/>
      <c r="Y333" s="925"/>
    </row>
    <row r="334" spans="1:25" ht="24" x14ac:dyDescent="0.55000000000000004">
      <c r="A334" s="68"/>
      <c r="B334" s="68"/>
      <c r="C334" s="68"/>
      <c r="D334" s="68"/>
      <c r="E334" s="68"/>
      <c r="F334" s="354"/>
      <c r="G334" s="354"/>
      <c r="H334" s="354"/>
      <c r="I334" s="354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354"/>
      <c r="Y334" s="925"/>
    </row>
    <row r="335" spans="1:25" ht="24" x14ac:dyDescent="0.55000000000000004">
      <c r="A335" s="68"/>
      <c r="B335" s="68"/>
      <c r="C335" s="68"/>
      <c r="D335" s="68"/>
      <c r="E335" s="68"/>
      <c r="F335" s="354"/>
      <c r="G335" s="354"/>
      <c r="H335" s="354"/>
      <c r="I335" s="354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354"/>
      <c r="Y335" s="925"/>
    </row>
    <row r="336" spans="1:25" ht="24" x14ac:dyDescent="0.55000000000000004">
      <c r="A336" s="68"/>
      <c r="B336" s="68"/>
      <c r="C336" s="68"/>
      <c r="D336" s="68"/>
      <c r="E336" s="68"/>
      <c r="F336" s="354"/>
      <c r="G336" s="354"/>
      <c r="H336" s="354"/>
      <c r="I336" s="354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354"/>
      <c r="Y336" s="925"/>
    </row>
    <row r="337" spans="1:25" ht="24" x14ac:dyDescent="0.55000000000000004">
      <c r="A337" s="68"/>
      <c r="B337" s="68"/>
      <c r="C337" s="68"/>
      <c r="D337" s="68"/>
      <c r="E337" s="68"/>
      <c r="F337" s="354"/>
      <c r="G337" s="354"/>
      <c r="H337" s="354"/>
      <c r="I337" s="354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354"/>
      <c r="Y337" s="925"/>
    </row>
    <row r="338" spans="1:25" ht="24" x14ac:dyDescent="0.55000000000000004">
      <c r="A338" s="68"/>
      <c r="B338" s="68"/>
      <c r="C338" s="68"/>
      <c r="D338" s="68"/>
      <c r="E338" s="68"/>
      <c r="F338" s="354"/>
      <c r="G338" s="354"/>
      <c r="H338" s="354"/>
      <c r="I338" s="354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354"/>
      <c r="Y338" s="925"/>
    </row>
    <row r="339" spans="1:25" ht="24" x14ac:dyDescent="0.55000000000000004">
      <c r="A339" s="68"/>
      <c r="B339" s="68"/>
      <c r="C339" s="68"/>
      <c r="D339" s="68"/>
      <c r="E339" s="68"/>
      <c r="F339" s="354"/>
      <c r="G339" s="354"/>
      <c r="H339" s="354"/>
      <c r="I339" s="354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354"/>
      <c r="Y339" s="925"/>
    </row>
    <row r="340" spans="1:25" ht="24" x14ac:dyDescent="0.55000000000000004">
      <c r="A340" s="68"/>
      <c r="B340" s="68"/>
      <c r="C340" s="68"/>
      <c r="D340" s="68"/>
      <c r="E340" s="68"/>
      <c r="F340" s="354"/>
      <c r="G340" s="354"/>
      <c r="H340" s="354"/>
      <c r="I340" s="354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354"/>
      <c r="Y340" s="925"/>
    </row>
    <row r="341" spans="1:25" ht="24" x14ac:dyDescent="0.55000000000000004">
      <c r="A341" s="68"/>
      <c r="B341" s="68"/>
      <c r="C341" s="68"/>
      <c r="D341" s="68"/>
      <c r="E341" s="68"/>
      <c r="F341" s="354"/>
      <c r="G341" s="354"/>
      <c r="H341" s="354"/>
      <c r="I341" s="354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354"/>
      <c r="Y341" s="925"/>
    </row>
    <row r="342" spans="1:25" ht="24" x14ac:dyDescent="0.55000000000000004">
      <c r="A342" s="68"/>
      <c r="B342" s="68"/>
      <c r="C342" s="68"/>
      <c r="D342" s="68"/>
      <c r="E342" s="68"/>
      <c r="F342" s="354"/>
      <c r="G342" s="354"/>
      <c r="H342" s="354"/>
      <c r="I342" s="354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354"/>
      <c r="Y342" s="925"/>
    </row>
    <row r="343" spans="1:25" ht="24" x14ac:dyDescent="0.55000000000000004">
      <c r="A343" s="68"/>
      <c r="B343" s="68"/>
      <c r="C343" s="68"/>
      <c r="D343" s="68"/>
      <c r="E343" s="68"/>
      <c r="F343" s="354"/>
      <c r="G343" s="354"/>
      <c r="H343" s="354"/>
      <c r="I343" s="354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354"/>
      <c r="Y343" s="925"/>
    </row>
    <row r="344" spans="1:25" ht="24" x14ac:dyDescent="0.55000000000000004">
      <c r="A344" s="68"/>
      <c r="B344" s="68"/>
      <c r="C344" s="68"/>
      <c r="D344" s="68"/>
      <c r="E344" s="68"/>
      <c r="F344" s="354"/>
      <c r="G344" s="354"/>
      <c r="H344" s="354"/>
      <c r="I344" s="354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354"/>
      <c r="Y344" s="925"/>
    </row>
    <row r="345" spans="1:25" ht="24" x14ac:dyDescent="0.55000000000000004">
      <c r="A345" s="68"/>
      <c r="B345" s="68"/>
      <c r="C345" s="68"/>
      <c r="D345" s="68"/>
      <c r="E345" s="68"/>
      <c r="F345" s="354"/>
      <c r="G345" s="354"/>
      <c r="H345" s="354"/>
      <c r="I345" s="354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354"/>
      <c r="Y345" s="925"/>
    </row>
    <row r="346" spans="1:25" ht="24" x14ac:dyDescent="0.55000000000000004">
      <c r="A346" s="68"/>
      <c r="B346" s="68"/>
      <c r="C346" s="68"/>
      <c r="D346" s="68"/>
      <c r="E346" s="68"/>
      <c r="F346" s="354"/>
      <c r="G346" s="354"/>
      <c r="H346" s="354"/>
      <c r="I346" s="354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354"/>
      <c r="Y346" s="925"/>
    </row>
    <row r="347" spans="1:25" ht="24" x14ac:dyDescent="0.55000000000000004">
      <c r="A347" s="68"/>
      <c r="B347" s="68"/>
      <c r="C347" s="68"/>
      <c r="D347" s="68"/>
      <c r="E347" s="68"/>
      <c r="F347" s="354"/>
      <c r="G347" s="354"/>
      <c r="H347" s="354"/>
      <c r="I347" s="354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354"/>
      <c r="Y347" s="925"/>
    </row>
    <row r="348" spans="1:25" ht="24" x14ac:dyDescent="0.55000000000000004">
      <c r="A348" s="68"/>
      <c r="B348" s="68"/>
      <c r="C348" s="68"/>
      <c r="D348" s="68"/>
      <c r="E348" s="68"/>
      <c r="F348" s="354"/>
      <c r="G348" s="354"/>
      <c r="H348" s="354"/>
      <c r="I348" s="354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354"/>
      <c r="Y348" s="925"/>
    </row>
    <row r="349" spans="1:25" ht="24" x14ac:dyDescent="0.55000000000000004">
      <c r="A349" s="68"/>
      <c r="B349" s="68"/>
      <c r="C349" s="68"/>
      <c r="D349" s="68"/>
      <c r="E349" s="68"/>
      <c r="F349" s="354"/>
      <c r="G349" s="354"/>
      <c r="H349" s="354"/>
      <c r="I349" s="354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354"/>
      <c r="Y349" s="925"/>
    </row>
    <row r="350" spans="1:25" ht="24" x14ac:dyDescent="0.55000000000000004">
      <c r="A350" s="68"/>
      <c r="B350" s="68"/>
      <c r="C350" s="68"/>
      <c r="D350" s="68"/>
      <c r="E350" s="68"/>
      <c r="F350" s="354"/>
      <c r="G350" s="354"/>
      <c r="H350" s="354"/>
      <c r="I350" s="354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354"/>
      <c r="Y350" s="925"/>
    </row>
    <row r="351" spans="1:25" ht="24" x14ac:dyDescent="0.55000000000000004">
      <c r="A351" s="68"/>
      <c r="B351" s="68"/>
      <c r="C351" s="68"/>
      <c r="D351" s="68"/>
      <c r="E351" s="68"/>
      <c r="F351" s="354"/>
      <c r="G351" s="354"/>
      <c r="H351" s="354"/>
      <c r="I351" s="354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354"/>
      <c r="Y351" s="925"/>
    </row>
    <row r="352" spans="1:25" ht="24" x14ac:dyDescent="0.55000000000000004">
      <c r="A352" s="68"/>
      <c r="B352" s="68"/>
      <c r="C352" s="68"/>
      <c r="D352" s="68"/>
      <c r="E352" s="68"/>
      <c r="F352" s="354"/>
      <c r="G352" s="354"/>
      <c r="H352" s="354"/>
      <c r="I352" s="354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354"/>
      <c r="Y352" s="925"/>
    </row>
    <row r="353" spans="1:25" ht="24" x14ac:dyDescent="0.55000000000000004">
      <c r="A353" s="68"/>
      <c r="B353" s="68"/>
      <c r="C353" s="68"/>
      <c r="D353" s="68"/>
      <c r="E353" s="68"/>
      <c r="F353" s="354"/>
      <c r="G353" s="354"/>
      <c r="H353" s="354"/>
      <c r="I353" s="354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354"/>
      <c r="Y353" s="925"/>
    </row>
    <row r="354" spans="1:25" ht="24" x14ac:dyDescent="0.55000000000000004">
      <c r="A354" s="68"/>
      <c r="B354" s="68"/>
      <c r="C354" s="68"/>
      <c r="D354" s="68"/>
      <c r="E354" s="68"/>
      <c r="F354" s="354"/>
      <c r="G354" s="354"/>
      <c r="H354" s="354"/>
      <c r="I354" s="354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354"/>
      <c r="Y354" s="925"/>
    </row>
    <row r="355" spans="1:25" ht="24" x14ac:dyDescent="0.55000000000000004">
      <c r="A355" s="68"/>
      <c r="B355" s="68"/>
      <c r="C355" s="68"/>
      <c r="D355" s="68"/>
      <c r="E355" s="68"/>
      <c r="F355" s="354"/>
      <c r="G355" s="354"/>
      <c r="H355" s="354"/>
      <c r="I355" s="354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354"/>
      <c r="Y355" s="925"/>
    </row>
    <row r="356" spans="1:25" ht="24" x14ac:dyDescent="0.55000000000000004">
      <c r="A356" s="68"/>
      <c r="B356" s="68"/>
      <c r="C356" s="68"/>
      <c r="D356" s="68"/>
      <c r="E356" s="68"/>
      <c r="F356" s="354"/>
      <c r="G356" s="354"/>
      <c r="H356" s="354"/>
      <c r="I356" s="354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354"/>
      <c r="Y356" s="925"/>
    </row>
    <row r="357" spans="1:25" ht="24" x14ac:dyDescent="0.55000000000000004">
      <c r="A357" s="68"/>
      <c r="B357" s="68"/>
      <c r="C357" s="68"/>
      <c r="D357" s="68"/>
      <c r="E357" s="68"/>
      <c r="F357" s="354"/>
      <c r="G357" s="354"/>
      <c r="H357" s="354"/>
      <c r="I357" s="354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354"/>
      <c r="Y357" s="925"/>
    </row>
    <row r="358" spans="1:25" ht="24" x14ac:dyDescent="0.55000000000000004">
      <c r="A358" s="68"/>
      <c r="B358" s="68"/>
      <c r="C358" s="68"/>
      <c r="D358" s="68"/>
      <c r="E358" s="68"/>
      <c r="F358" s="354"/>
      <c r="G358" s="354"/>
      <c r="H358" s="354"/>
      <c r="I358" s="354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354"/>
      <c r="Y358" s="925"/>
    </row>
    <row r="359" spans="1:25" ht="24" x14ac:dyDescent="0.55000000000000004">
      <c r="A359" s="68"/>
      <c r="B359" s="68"/>
      <c r="C359" s="68"/>
      <c r="D359" s="68"/>
      <c r="E359" s="68"/>
      <c r="F359" s="354"/>
      <c r="G359" s="354"/>
      <c r="H359" s="354"/>
      <c r="I359" s="354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354"/>
      <c r="Y359" s="925"/>
    </row>
    <row r="360" spans="1:25" ht="24" x14ac:dyDescent="0.55000000000000004">
      <c r="A360" s="68"/>
      <c r="B360" s="68"/>
      <c r="C360" s="68"/>
      <c r="D360" s="68"/>
      <c r="E360" s="68"/>
      <c r="F360" s="354"/>
      <c r="G360" s="354"/>
      <c r="H360" s="354"/>
      <c r="I360" s="354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354"/>
      <c r="Y360" s="925"/>
    </row>
    <row r="361" spans="1:25" ht="24" x14ac:dyDescent="0.55000000000000004">
      <c r="A361" s="68"/>
      <c r="B361" s="68"/>
      <c r="C361" s="68"/>
      <c r="D361" s="68"/>
      <c r="E361" s="68"/>
      <c r="F361" s="354"/>
      <c r="G361" s="354"/>
      <c r="H361" s="354"/>
      <c r="I361" s="354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354"/>
      <c r="Y361" s="925"/>
    </row>
    <row r="362" spans="1:25" ht="24" x14ac:dyDescent="0.55000000000000004">
      <c r="A362" s="68"/>
      <c r="B362" s="68"/>
      <c r="C362" s="68"/>
      <c r="D362" s="68"/>
      <c r="E362" s="68"/>
      <c r="F362" s="354"/>
      <c r="G362" s="354"/>
      <c r="H362" s="354"/>
      <c r="I362" s="354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354"/>
      <c r="Y362" s="925"/>
    </row>
    <row r="363" spans="1:25" ht="24" x14ac:dyDescent="0.55000000000000004">
      <c r="A363" s="68"/>
      <c r="B363" s="68"/>
      <c r="C363" s="68"/>
      <c r="D363" s="68"/>
      <c r="E363" s="68"/>
      <c r="F363" s="354"/>
      <c r="G363" s="354"/>
      <c r="H363" s="354"/>
      <c r="I363" s="354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354"/>
      <c r="Y363" s="925"/>
    </row>
    <row r="364" spans="1:25" ht="24" x14ac:dyDescent="0.55000000000000004">
      <c r="A364" s="68"/>
      <c r="B364" s="68"/>
      <c r="C364" s="68"/>
      <c r="D364" s="68"/>
      <c r="E364" s="68"/>
      <c r="F364" s="354"/>
      <c r="G364" s="354"/>
      <c r="H364" s="354"/>
      <c r="I364" s="354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354"/>
      <c r="Y364" s="925"/>
    </row>
    <row r="365" spans="1:25" ht="24" x14ac:dyDescent="0.55000000000000004">
      <c r="A365" s="68"/>
      <c r="B365" s="68"/>
      <c r="C365" s="68"/>
      <c r="D365" s="68"/>
      <c r="E365" s="68"/>
      <c r="F365" s="354"/>
      <c r="G365" s="354"/>
      <c r="H365" s="354"/>
      <c r="I365" s="354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354"/>
      <c r="Y365" s="925"/>
    </row>
    <row r="366" spans="1:25" ht="24" x14ac:dyDescent="0.55000000000000004">
      <c r="A366" s="68"/>
      <c r="B366" s="68"/>
      <c r="C366" s="68"/>
      <c r="D366" s="68"/>
      <c r="E366" s="68"/>
      <c r="F366" s="354"/>
      <c r="G366" s="354"/>
      <c r="H366" s="354"/>
      <c r="I366" s="354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354"/>
      <c r="Y366" s="925"/>
    </row>
    <row r="367" spans="1:25" ht="24" x14ac:dyDescent="0.55000000000000004">
      <c r="A367" s="68"/>
      <c r="B367" s="68"/>
      <c r="C367" s="68"/>
      <c r="D367" s="68"/>
      <c r="E367" s="68"/>
      <c r="F367" s="354"/>
      <c r="G367" s="354"/>
      <c r="H367" s="354"/>
      <c r="I367" s="354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354"/>
      <c r="Y367" s="925"/>
    </row>
    <row r="368" spans="1:25" ht="24" x14ac:dyDescent="0.55000000000000004">
      <c r="A368" s="68"/>
      <c r="B368" s="68"/>
      <c r="C368" s="68"/>
      <c r="D368" s="68"/>
      <c r="E368" s="68"/>
      <c r="F368" s="354"/>
      <c r="G368" s="354"/>
      <c r="H368" s="354"/>
      <c r="I368" s="354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354"/>
      <c r="Y368" s="925"/>
    </row>
    <row r="369" spans="1:25" ht="24" x14ac:dyDescent="0.55000000000000004">
      <c r="A369" s="68"/>
      <c r="B369" s="68"/>
      <c r="C369" s="68"/>
      <c r="D369" s="68"/>
      <c r="E369" s="68"/>
      <c r="F369" s="354"/>
      <c r="G369" s="354"/>
      <c r="H369" s="354"/>
      <c r="I369" s="354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354"/>
      <c r="Y369" s="925"/>
    </row>
    <row r="370" spans="1:25" ht="24" x14ac:dyDescent="0.55000000000000004">
      <c r="A370" s="68"/>
      <c r="B370" s="68"/>
      <c r="C370" s="68"/>
      <c r="D370" s="68"/>
      <c r="E370" s="68"/>
      <c r="F370" s="354"/>
      <c r="G370" s="354"/>
      <c r="H370" s="354"/>
      <c r="I370" s="354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354"/>
      <c r="Y370" s="925"/>
    </row>
    <row r="371" spans="1:25" ht="24" x14ac:dyDescent="0.55000000000000004">
      <c r="A371" s="68"/>
      <c r="B371" s="68"/>
      <c r="C371" s="68"/>
      <c r="D371" s="68"/>
      <c r="E371" s="68"/>
      <c r="F371" s="354"/>
      <c r="G371" s="354"/>
      <c r="H371" s="354"/>
      <c r="I371" s="354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354"/>
      <c r="Y371" s="925"/>
    </row>
    <row r="372" spans="1:25" ht="24" x14ac:dyDescent="0.55000000000000004">
      <c r="A372" s="68"/>
      <c r="B372" s="68"/>
      <c r="C372" s="68"/>
      <c r="D372" s="68"/>
      <c r="E372" s="68"/>
      <c r="F372" s="354"/>
      <c r="G372" s="354"/>
      <c r="H372" s="354"/>
      <c r="I372" s="354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354"/>
      <c r="Y372" s="925"/>
    </row>
    <row r="373" spans="1:25" ht="24" x14ac:dyDescent="0.55000000000000004">
      <c r="A373" s="68"/>
      <c r="B373" s="68"/>
      <c r="C373" s="68"/>
      <c r="D373" s="68"/>
      <c r="E373" s="68"/>
      <c r="F373" s="354"/>
      <c r="G373" s="354"/>
      <c r="H373" s="354"/>
      <c r="I373" s="354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354"/>
      <c r="Y373" s="925"/>
    </row>
    <row r="374" spans="1:25" ht="24" x14ac:dyDescent="0.55000000000000004">
      <c r="A374" s="68"/>
      <c r="B374" s="68"/>
      <c r="C374" s="68"/>
      <c r="D374" s="68"/>
      <c r="E374" s="68"/>
      <c r="F374" s="354"/>
      <c r="G374" s="354"/>
      <c r="H374" s="354"/>
      <c r="I374" s="354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354"/>
      <c r="Y374" s="925"/>
    </row>
    <row r="375" spans="1:25" ht="24" x14ac:dyDescent="0.55000000000000004">
      <c r="A375" s="68"/>
      <c r="B375" s="68"/>
      <c r="C375" s="68"/>
      <c r="D375" s="68"/>
      <c r="E375" s="68"/>
      <c r="F375" s="354"/>
      <c r="G375" s="354"/>
      <c r="H375" s="354"/>
      <c r="I375" s="354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354"/>
      <c r="Y375" s="925"/>
    </row>
    <row r="376" spans="1:25" ht="24" x14ac:dyDescent="0.55000000000000004">
      <c r="A376" s="68"/>
      <c r="B376" s="68"/>
      <c r="C376" s="68"/>
      <c r="D376" s="68"/>
      <c r="E376" s="68"/>
      <c r="F376" s="354"/>
      <c r="G376" s="354"/>
      <c r="H376" s="354"/>
      <c r="I376" s="354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354"/>
      <c r="Y376" s="925"/>
    </row>
    <row r="377" spans="1:25" ht="24" x14ac:dyDescent="0.55000000000000004">
      <c r="A377" s="68"/>
      <c r="B377" s="68"/>
      <c r="C377" s="68"/>
      <c r="D377" s="68"/>
      <c r="E377" s="68"/>
      <c r="F377" s="354"/>
      <c r="G377" s="354"/>
      <c r="H377" s="354"/>
      <c r="I377" s="354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354"/>
      <c r="Y377" s="925"/>
    </row>
    <row r="378" spans="1:25" ht="24" x14ac:dyDescent="0.55000000000000004">
      <c r="A378" s="68"/>
      <c r="B378" s="68"/>
      <c r="C378" s="68"/>
      <c r="D378" s="68"/>
      <c r="E378" s="68"/>
      <c r="F378" s="354"/>
      <c r="G378" s="354"/>
      <c r="H378" s="354"/>
      <c r="I378" s="354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354"/>
      <c r="Y378" s="925"/>
    </row>
    <row r="379" spans="1:25" ht="24" x14ac:dyDescent="0.55000000000000004">
      <c r="A379" s="68"/>
      <c r="B379" s="68"/>
      <c r="C379" s="68"/>
      <c r="D379" s="68"/>
      <c r="E379" s="68"/>
      <c r="F379" s="354"/>
      <c r="G379" s="354"/>
      <c r="H379" s="354"/>
      <c r="I379" s="354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354"/>
      <c r="Y379" s="925"/>
    </row>
    <row r="380" spans="1:25" ht="24" x14ac:dyDescent="0.55000000000000004">
      <c r="A380" s="68"/>
      <c r="B380" s="68"/>
      <c r="C380" s="68"/>
      <c r="D380" s="68"/>
      <c r="E380" s="68"/>
      <c r="F380" s="354"/>
      <c r="G380" s="354"/>
      <c r="H380" s="354"/>
      <c r="I380" s="354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354"/>
      <c r="Y380" s="925"/>
    </row>
    <row r="381" spans="1:25" ht="24" x14ac:dyDescent="0.55000000000000004">
      <c r="A381" s="68"/>
      <c r="B381" s="68"/>
      <c r="C381" s="68"/>
      <c r="D381" s="68"/>
      <c r="E381" s="68"/>
      <c r="F381" s="354"/>
      <c r="G381" s="354"/>
      <c r="H381" s="354"/>
      <c r="I381" s="354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354"/>
      <c r="Y381" s="925"/>
    </row>
    <row r="382" spans="1:25" ht="24" x14ac:dyDescent="0.55000000000000004">
      <c r="A382" s="68"/>
      <c r="B382" s="68"/>
      <c r="C382" s="68"/>
      <c r="D382" s="68"/>
      <c r="E382" s="68"/>
      <c r="F382" s="354"/>
      <c r="G382" s="354"/>
      <c r="H382" s="354"/>
      <c r="I382" s="354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354"/>
      <c r="Y382" s="925"/>
    </row>
    <row r="383" spans="1:25" ht="24" x14ac:dyDescent="0.55000000000000004">
      <c r="A383" s="68"/>
      <c r="B383" s="68"/>
      <c r="C383" s="68"/>
      <c r="D383" s="68"/>
      <c r="E383" s="68"/>
      <c r="F383" s="354"/>
      <c r="G383" s="354"/>
      <c r="H383" s="354"/>
      <c r="I383" s="354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354"/>
      <c r="Y383" s="925"/>
    </row>
    <row r="384" spans="1:25" ht="24" x14ac:dyDescent="0.55000000000000004">
      <c r="A384" s="68"/>
      <c r="B384" s="68"/>
      <c r="C384" s="68"/>
      <c r="D384" s="68"/>
      <c r="E384" s="68"/>
      <c r="F384" s="354"/>
      <c r="G384" s="354"/>
      <c r="H384" s="354"/>
      <c r="I384" s="354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354"/>
      <c r="Y384" s="925"/>
    </row>
    <row r="385" spans="1:25" ht="24" x14ac:dyDescent="0.55000000000000004">
      <c r="A385" s="68"/>
      <c r="B385" s="68"/>
      <c r="C385" s="68"/>
      <c r="D385" s="68"/>
      <c r="E385" s="68"/>
      <c r="F385" s="354"/>
      <c r="G385" s="354"/>
      <c r="H385" s="354"/>
      <c r="I385" s="354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354"/>
      <c r="Y385" s="925"/>
    </row>
    <row r="386" spans="1:25" ht="24" x14ac:dyDescent="0.55000000000000004">
      <c r="A386" s="68"/>
      <c r="B386" s="68"/>
      <c r="C386" s="68"/>
      <c r="D386" s="68"/>
      <c r="E386" s="68"/>
      <c r="F386" s="354"/>
      <c r="G386" s="354"/>
      <c r="H386" s="354"/>
      <c r="I386" s="354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354"/>
      <c r="Y386" s="925"/>
    </row>
    <row r="387" spans="1:25" ht="24" x14ac:dyDescent="0.55000000000000004">
      <c r="A387" s="68"/>
      <c r="B387" s="68"/>
      <c r="C387" s="68"/>
      <c r="D387" s="68"/>
      <c r="E387" s="68"/>
      <c r="F387" s="354"/>
      <c r="G387" s="354"/>
      <c r="H387" s="354"/>
      <c r="I387" s="354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354"/>
      <c r="Y387" s="925"/>
    </row>
    <row r="388" spans="1:25" ht="24" x14ac:dyDescent="0.55000000000000004">
      <c r="A388" s="68"/>
      <c r="B388" s="68"/>
      <c r="C388" s="68"/>
      <c r="D388" s="68"/>
      <c r="E388" s="68"/>
      <c r="F388" s="354"/>
      <c r="G388" s="354"/>
      <c r="H388" s="354"/>
      <c r="I388" s="354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354"/>
      <c r="Y388" s="925"/>
    </row>
    <row r="389" spans="1:25" ht="24" x14ac:dyDescent="0.55000000000000004">
      <c r="A389" s="68"/>
      <c r="B389" s="68"/>
      <c r="C389" s="68"/>
      <c r="D389" s="68"/>
      <c r="E389" s="68"/>
      <c r="F389" s="354"/>
      <c r="G389" s="354"/>
      <c r="H389" s="354"/>
      <c r="I389" s="354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354"/>
      <c r="Y389" s="925"/>
    </row>
    <row r="390" spans="1:25" ht="24" x14ac:dyDescent="0.55000000000000004">
      <c r="A390" s="68"/>
      <c r="B390" s="68"/>
      <c r="C390" s="68"/>
      <c r="D390" s="68"/>
      <c r="E390" s="68"/>
      <c r="F390" s="354"/>
      <c r="G390" s="354"/>
      <c r="H390" s="354"/>
      <c r="I390" s="354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354"/>
      <c r="Y390" s="925"/>
    </row>
    <row r="391" spans="1:25" ht="24" x14ac:dyDescent="0.55000000000000004">
      <c r="A391" s="68"/>
      <c r="B391" s="68"/>
      <c r="C391" s="68"/>
      <c r="D391" s="68"/>
      <c r="E391" s="68"/>
      <c r="F391" s="354"/>
      <c r="G391" s="354"/>
      <c r="H391" s="354"/>
      <c r="I391" s="354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354"/>
      <c r="Y391" s="925"/>
    </row>
    <row r="392" spans="1:25" ht="24" x14ac:dyDescent="0.55000000000000004">
      <c r="A392" s="68"/>
      <c r="B392" s="68"/>
      <c r="C392" s="68"/>
      <c r="D392" s="68"/>
      <c r="E392" s="68"/>
      <c r="F392" s="354"/>
      <c r="G392" s="354"/>
      <c r="H392" s="354"/>
      <c r="I392" s="354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354"/>
      <c r="Y392" s="925"/>
    </row>
    <row r="393" spans="1:25" ht="24" x14ac:dyDescent="0.55000000000000004">
      <c r="A393" s="68"/>
      <c r="B393" s="68"/>
      <c r="C393" s="68"/>
      <c r="D393" s="68"/>
      <c r="E393" s="68"/>
      <c r="F393" s="354"/>
      <c r="G393" s="354"/>
      <c r="H393" s="354"/>
      <c r="I393" s="354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354"/>
      <c r="Y393" s="925"/>
    </row>
    <row r="394" spans="1:25" ht="24" x14ac:dyDescent="0.55000000000000004">
      <c r="A394" s="68"/>
      <c r="B394" s="68"/>
      <c r="C394" s="68"/>
      <c r="D394" s="68"/>
      <c r="E394" s="68"/>
      <c r="F394" s="354"/>
      <c r="G394" s="354"/>
      <c r="H394" s="354"/>
      <c r="I394" s="354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354"/>
      <c r="Y394" s="925"/>
    </row>
    <row r="395" spans="1:25" ht="24" x14ac:dyDescent="0.55000000000000004">
      <c r="A395" s="68"/>
      <c r="B395" s="68"/>
      <c r="C395" s="68"/>
      <c r="D395" s="68"/>
      <c r="E395" s="68"/>
      <c r="F395" s="354"/>
      <c r="G395" s="354"/>
      <c r="H395" s="354"/>
      <c r="I395" s="354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354"/>
      <c r="Y395" s="925"/>
    </row>
    <row r="396" spans="1:25" ht="24" x14ac:dyDescent="0.55000000000000004">
      <c r="A396" s="68"/>
      <c r="B396" s="68"/>
      <c r="C396" s="68"/>
      <c r="D396" s="68"/>
      <c r="E396" s="68"/>
      <c r="F396" s="354"/>
      <c r="G396" s="354"/>
      <c r="H396" s="354"/>
      <c r="I396" s="354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354"/>
      <c r="Y396" s="925"/>
    </row>
    <row r="397" spans="1:25" ht="24" x14ac:dyDescent="0.55000000000000004">
      <c r="A397" s="68"/>
      <c r="B397" s="68"/>
      <c r="C397" s="68"/>
      <c r="D397" s="68"/>
      <c r="E397" s="68"/>
      <c r="F397" s="354"/>
      <c r="G397" s="354"/>
      <c r="H397" s="354"/>
      <c r="I397" s="354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354"/>
      <c r="Y397" s="925"/>
    </row>
    <row r="398" spans="1:25" ht="24" x14ac:dyDescent="0.55000000000000004">
      <c r="A398" s="68"/>
      <c r="B398" s="68"/>
      <c r="C398" s="68"/>
      <c r="D398" s="68"/>
      <c r="E398" s="68"/>
      <c r="F398" s="354"/>
      <c r="G398" s="354"/>
      <c r="H398" s="354"/>
      <c r="I398" s="354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354"/>
      <c r="Y398" s="925"/>
    </row>
    <row r="399" spans="1:25" ht="24" x14ac:dyDescent="0.55000000000000004">
      <c r="A399" s="68"/>
      <c r="B399" s="68"/>
      <c r="C399" s="68"/>
      <c r="D399" s="68"/>
      <c r="E399" s="68"/>
      <c r="F399" s="354"/>
      <c r="G399" s="354"/>
      <c r="H399" s="354"/>
      <c r="I399" s="354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354"/>
      <c r="Y399" s="925"/>
    </row>
    <row r="400" spans="1:25" ht="24" x14ac:dyDescent="0.55000000000000004">
      <c r="A400" s="68"/>
      <c r="B400" s="68"/>
      <c r="C400" s="68"/>
      <c r="D400" s="68"/>
      <c r="E400" s="68"/>
      <c r="F400" s="354"/>
      <c r="G400" s="354"/>
      <c r="H400" s="354"/>
      <c r="I400" s="354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354"/>
      <c r="Y400" s="925"/>
    </row>
    <row r="401" spans="1:25" ht="24" x14ac:dyDescent="0.55000000000000004">
      <c r="A401" s="68"/>
      <c r="B401" s="68"/>
      <c r="C401" s="68"/>
      <c r="D401" s="68"/>
      <c r="E401" s="68"/>
      <c r="F401" s="354"/>
      <c r="G401" s="354"/>
      <c r="H401" s="354"/>
      <c r="I401" s="354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354"/>
      <c r="Y401" s="925"/>
    </row>
    <row r="402" spans="1:25" ht="24" x14ac:dyDescent="0.55000000000000004">
      <c r="A402" s="68"/>
      <c r="B402" s="68"/>
      <c r="C402" s="68"/>
      <c r="D402" s="68"/>
      <c r="E402" s="68"/>
      <c r="F402" s="354"/>
      <c r="G402" s="354"/>
      <c r="H402" s="354"/>
      <c r="I402" s="354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354"/>
      <c r="Y402" s="925"/>
    </row>
    <row r="403" spans="1:25" ht="24" x14ac:dyDescent="0.55000000000000004">
      <c r="A403" s="68"/>
      <c r="B403" s="68"/>
      <c r="C403" s="68"/>
      <c r="D403" s="68"/>
      <c r="E403" s="68"/>
      <c r="F403" s="354"/>
      <c r="G403" s="354"/>
      <c r="H403" s="354"/>
      <c r="I403" s="354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354"/>
      <c r="Y403" s="925"/>
    </row>
    <row r="404" spans="1:25" ht="24" x14ac:dyDescent="0.55000000000000004">
      <c r="A404" s="68"/>
      <c r="B404" s="68"/>
      <c r="C404" s="68"/>
      <c r="D404" s="68"/>
      <c r="E404" s="68"/>
      <c r="F404" s="354"/>
      <c r="G404" s="354"/>
      <c r="H404" s="354"/>
      <c r="I404" s="354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354"/>
      <c r="Y404" s="925"/>
    </row>
    <row r="405" spans="1:25" ht="24" x14ac:dyDescent="0.55000000000000004">
      <c r="A405" s="68"/>
      <c r="B405" s="68"/>
      <c r="C405" s="68"/>
      <c r="D405" s="68"/>
      <c r="E405" s="68"/>
      <c r="F405" s="354"/>
      <c r="G405" s="354"/>
      <c r="H405" s="354"/>
      <c r="I405" s="354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354"/>
      <c r="Y405" s="925"/>
    </row>
    <row r="406" spans="1:25" ht="24" x14ac:dyDescent="0.55000000000000004">
      <c r="A406" s="68"/>
      <c r="B406" s="68"/>
      <c r="C406" s="68"/>
      <c r="D406" s="68"/>
      <c r="E406" s="68"/>
      <c r="F406" s="354"/>
      <c r="G406" s="354"/>
      <c r="H406" s="354"/>
      <c r="I406" s="354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354"/>
      <c r="Y406" s="925"/>
    </row>
    <row r="407" spans="1:25" ht="24" x14ac:dyDescent="0.55000000000000004">
      <c r="A407" s="68"/>
      <c r="B407" s="68"/>
      <c r="C407" s="68"/>
      <c r="D407" s="68"/>
      <c r="E407" s="68"/>
      <c r="F407" s="354"/>
      <c r="G407" s="354"/>
      <c r="H407" s="354"/>
      <c r="I407" s="354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354"/>
      <c r="Y407" s="925"/>
    </row>
    <row r="408" spans="1:25" ht="24" x14ac:dyDescent="0.55000000000000004">
      <c r="A408" s="68"/>
      <c r="B408" s="68"/>
      <c r="C408" s="68"/>
      <c r="D408" s="68"/>
      <c r="E408" s="68"/>
      <c r="F408" s="354"/>
      <c r="G408" s="354"/>
      <c r="H408" s="354"/>
      <c r="I408" s="354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354"/>
      <c r="Y408" s="925"/>
    </row>
    <row r="409" spans="1:25" ht="24" x14ac:dyDescent="0.55000000000000004">
      <c r="A409" s="68"/>
      <c r="B409" s="68"/>
      <c r="C409" s="68"/>
      <c r="D409" s="68"/>
      <c r="E409" s="68"/>
      <c r="F409" s="354"/>
      <c r="G409" s="354"/>
      <c r="H409" s="354"/>
      <c r="I409" s="354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354"/>
      <c r="Y409" s="925"/>
    </row>
    <row r="410" spans="1:25" ht="24" x14ac:dyDescent="0.55000000000000004">
      <c r="A410" s="68"/>
      <c r="B410" s="68"/>
      <c r="C410" s="68"/>
      <c r="D410" s="68"/>
      <c r="E410" s="68"/>
      <c r="F410" s="354"/>
      <c r="G410" s="354"/>
      <c r="H410" s="354"/>
      <c r="I410" s="354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354"/>
      <c r="Y410" s="925"/>
    </row>
    <row r="411" spans="1:25" ht="24" x14ac:dyDescent="0.55000000000000004">
      <c r="A411" s="68"/>
      <c r="B411" s="68"/>
      <c r="C411" s="68"/>
      <c r="D411" s="68"/>
      <c r="E411" s="68"/>
      <c r="F411" s="354"/>
      <c r="G411" s="354"/>
      <c r="H411" s="354"/>
      <c r="I411" s="354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354"/>
      <c r="Y411" s="925"/>
    </row>
    <row r="412" spans="1:25" ht="24" x14ac:dyDescent="0.55000000000000004">
      <c r="A412" s="68"/>
      <c r="B412" s="68"/>
      <c r="C412" s="68"/>
      <c r="D412" s="68"/>
      <c r="E412" s="68"/>
      <c r="F412" s="354"/>
      <c r="G412" s="354"/>
      <c r="H412" s="354"/>
      <c r="I412" s="354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354"/>
      <c r="Y412" s="925"/>
    </row>
    <row r="413" spans="1:25" ht="24" x14ac:dyDescent="0.55000000000000004">
      <c r="A413" s="68"/>
      <c r="B413" s="68"/>
      <c r="C413" s="68"/>
      <c r="D413" s="68"/>
      <c r="E413" s="68"/>
      <c r="F413" s="354"/>
      <c r="G413" s="354"/>
      <c r="H413" s="354"/>
      <c r="I413" s="354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354"/>
      <c r="Y413" s="925"/>
    </row>
    <row r="414" spans="1:25" ht="24" x14ac:dyDescent="0.55000000000000004">
      <c r="A414" s="68"/>
      <c r="B414" s="68"/>
      <c r="C414" s="68"/>
      <c r="D414" s="68"/>
      <c r="E414" s="68"/>
      <c r="F414" s="354"/>
      <c r="G414" s="354"/>
      <c r="H414" s="354"/>
      <c r="I414" s="354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354"/>
      <c r="Y414" s="925"/>
    </row>
    <row r="415" spans="1:25" ht="24" x14ac:dyDescent="0.55000000000000004">
      <c r="A415" s="68"/>
      <c r="B415" s="68"/>
      <c r="C415" s="68"/>
      <c r="D415" s="68"/>
      <c r="E415" s="68"/>
      <c r="F415" s="354"/>
      <c r="G415" s="354"/>
      <c r="H415" s="354"/>
      <c r="I415" s="354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354"/>
      <c r="Y415" s="925"/>
    </row>
    <row r="416" spans="1:25" ht="24" x14ac:dyDescent="0.55000000000000004">
      <c r="A416" s="68"/>
      <c r="B416" s="68"/>
      <c r="C416" s="68"/>
      <c r="D416" s="68"/>
      <c r="E416" s="68"/>
      <c r="F416" s="354"/>
      <c r="G416" s="354"/>
      <c r="H416" s="354"/>
      <c r="I416" s="354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354"/>
      <c r="Y416" s="925"/>
    </row>
    <row r="417" spans="1:25" ht="24" x14ac:dyDescent="0.55000000000000004">
      <c r="A417" s="68"/>
      <c r="B417" s="68"/>
      <c r="C417" s="68"/>
      <c r="D417" s="68"/>
      <c r="E417" s="68"/>
      <c r="F417" s="354"/>
      <c r="G417" s="354"/>
      <c r="H417" s="354"/>
      <c r="I417" s="354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354"/>
      <c r="Y417" s="925"/>
    </row>
    <row r="418" spans="1:25" ht="24" x14ac:dyDescent="0.55000000000000004">
      <c r="A418" s="68"/>
      <c r="B418" s="68"/>
      <c r="C418" s="68"/>
      <c r="D418" s="68"/>
      <c r="E418" s="68"/>
      <c r="F418" s="354"/>
      <c r="G418" s="354"/>
      <c r="H418" s="354"/>
      <c r="I418" s="354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354"/>
      <c r="Y418" s="925"/>
    </row>
    <row r="419" spans="1:25" ht="24" x14ac:dyDescent="0.55000000000000004">
      <c r="A419" s="68"/>
      <c r="B419" s="68"/>
      <c r="C419" s="68"/>
      <c r="D419" s="68"/>
      <c r="E419" s="68"/>
      <c r="F419" s="354"/>
      <c r="G419" s="354"/>
      <c r="H419" s="354"/>
      <c r="I419" s="354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354"/>
      <c r="Y419" s="925"/>
    </row>
    <row r="420" spans="1:25" ht="24" x14ac:dyDescent="0.55000000000000004">
      <c r="A420" s="68"/>
      <c r="B420" s="68"/>
      <c r="C420" s="68"/>
      <c r="D420" s="68"/>
      <c r="E420" s="68"/>
      <c r="F420" s="354"/>
      <c r="G420" s="354"/>
      <c r="H420" s="354"/>
      <c r="I420" s="354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354"/>
      <c r="Y420" s="925"/>
    </row>
    <row r="421" spans="1:25" ht="24" x14ac:dyDescent="0.55000000000000004">
      <c r="A421" s="68"/>
      <c r="B421" s="68"/>
      <c r="C421" s="68"/>
      <c r="D421" s="68"/>
      <c r="E421" s="68"/>
      <c r="F421" s="354"/>
      <c r="G421" s="354"/>
      <c r="H421" s="354"/>
      <c r="I421" s="354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354"/>
      <c r="Y421" s="925"/>
    </row>
    <row r="422" spans="1:25" ht="24" x14ac:dyDescent="0.55000000000000004">
      <c r="A422" s="68"/>
      <c r="B422" s="68"/>
      <c r="C422" s="68"/>
      <c r="D422" s="68"/>
      <c r="E422" s="68"/>
      <c r="F422" s="354"/>
      <c r="G422" s="354"/>
      <c r="H422" s="354"/>
      <c r="I422" s="354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354"/>
      <c r="Y422" s="925"/>
    </row>
    <row r="423" spans="1:25" ht="24" x14ac:dyDescent="0.55000000000000004">
      <c r="A423" s="68"/>
      <c r="B423" s="68"/>
      <c r="C423" s="68"/>
      <c r="D423" s="68"/>
      <c r="E423" s="68"/>
      <c r="F423" s="354"/>
      <c r="G423" s="354"/>
      <c r="H423" s="354"/>
      <c r="I423" s="354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354"/>
      <c r="Y423" s="925"/>
    </row>
    <row r="424" spans="1:25" ht="24" x14ac:dyDescent="0.55000000000000004">
      <c r="A424" s="68"/>
      <c r="B424" s="68"/>
      <c r="C424" s="68"/>
      <c r="D424" s="68"/>
      <c r="E424" s="68"/>
      <c r="F424" s="354"/>
      <c r="G424" s="354"/>
      <c r="H424" s="354"/>
      <c r="I424" s="354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354"/>
      <c r="Y424" s="925"/>
    </row>
    <row r="425" spans="1:25" ht="24" x14ac:dyDescent="0.55000000000000004">
      <c r="A425" s="68"/>
      <c r="B425" s="68"/>
      <c r="C425" s="68"/>
      <c r="D425" s="68"/>
      <c r="E425" s="68"/>
      <c r="F425" s="354"/>
      <c r="G425" s="354"/>
      <c r="H425" s="354"/>
      <c r="I425" s="354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354"/>
      <c r="Y425" s="925"/>
    </row>
    <row r="426" spans="1:25" ht="24" x14ac:dyDescent="0.55000000000000004">
      <c r="A426" s="68"/>
      <c r="B426" s="68"/>
      <c r="C426" s="68"/>
      <c r="D426" s="68"/>
      <c r="E426" s="68"/>
      <c r="F426" s="354"/>
      <c r="G426" s="354"/>
      <c r="H426" s="354"/>
      <c r="I426" s="354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354"/>
      <c r="Y426" s="925"/>
    </row>
    <row r="427" spans="1:25" ht="24" x14ac:dyDescent="0.55000000000000004">
      <c r="A427" s="68"/>
      <c r="B427" s="68"/>
      <c r="C427" s="68"/>
      <c r="D427" s="68"/>
      <c r="E427" s="68"/>
      <c r="F427" s="354"/>
      <c r="G427" s="354"/>
      <c r="H427" s="354"/>
      <c r="I427" s="354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354"/>
      <c r="Y427" s="925"/>
    </row>
    <row r="428" spans="1:25" ht="24" x14ac:dyDescent="0.55000000000000004">
      <c r="A428" s="68"/>
      <c r="B428" s="68"/>
      <c r="C428" s="68"/>
      <c r="D428" s="68"/>
      <c r="E428" s="68"/>
      <c r="F428" s="354"/>
      <c r="G428" s="354"/>
      <c r="H428" s="354"/>
      <c r="I428" s="354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354"/>
      <c r="Y428" s="925"/>
    </row>
    <row r="429" spans="1:25" ht="24" x14ac:dyDescent="0.55000000000000004">
      <c r="A429" s="68"/>
      <c r="B429" s="68"/>
      <c r="C429" s="68"/>
      <c r="D429" s="68"/>
      <c r="E429" s="68"/>
      <c r="F429" s="354"/>
      <c r="G429" s="354"/>
      <c r="H429" s="354"/>
      <c r="I429" s="354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354"/>
      <c r="Y429" s="925"/>
    </row>
    <row r="430" spans="1:25" ht="24" x14ac:dyDescent="0.55000000000000004">
      <c r="A430" s="68"/>
      <c r="B430" s="68"/>
      <c r="C430" s="68"/>
      <c r="D430" s="68"/>
      <c r="E430" s="68"/>
      <c r="F430" s="354"/>
      <c r="G430" s="354"/>
      <c r="H430" s="354"/>
      <c r="I430" s="354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354"/>
      <c r="Y430" s="925"/>
    </row>
    <row r="431" spans="1:25" ht="24" x14ac:dyDescent="0.55000000000000004">
      <c r="A431" s="68"/>
      <c r="B431" s="68"/>
      <c r="C431" s="68"/>
      <c r="D431" s="68"/>
      <c r="E431" s="68"/>
      <c r="F431" s="354"/>
      <c r="G431" s="354"/>
      <c r="H431" s="354"/>
      <c r="I431" s="354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354"/>
      <c r="Y431" s="925"/>
    </row>
    <row r="432" spans="1:25" ht="24" x14ac:dyDescent="0.55000000000000004">
      <c r="A432" s="68"/>
      <c r="B432" s="68"/>
      <c r="C432" s="68"/>
      <c r="D432" s="68"/>
      <c r="E432" s="68"/>
      <c r="F432" s="354"/>
      <c r="G432" s="354"/>
      <c r="H432" s="354"/>
      <c r="I432" s="354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354"/>
      <c r="Y432" s="925"/>
    </row>
    <row r="433" spans="1:25" ht="24" x14ac:dyDescent="0.55000000000000004">
      <c r="A433" s="68"/>
      <c r="B433" s="68"/>
      <c r="C433" s="68"/>
      <c r="D433" s="68"/>
      <c r="E433" s="68"/>
      <c r="F433" s="354"/>
      <c r="G433" s="354"/>
      <c r="H433" s="354"/>
      <c r="I433" s="354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354"/>
      <c r="Y433" s="925"/>
    </row>
    <row r="434" spans="1:25" ht="24" x14ac:dyDescent="0.55000000000000004">
      <c r="A434" s="68"/>
      <c r="B434" s="68"/>
      <c r="C434" s="68"/>
      <c r="D434" s="68"/>
      <c r="E434" s="68"/>
      <c r="F434" s="354"/>
      <c r="G434" s="354"/>
      <c r="H434" s="354"/>
      <c r="I434" s="354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354"/>
      <c r="Y434" s="925"/>
    </row>
    <row r="435" spans="1:25" ht="24" x14ac:dyDescent="0.55000000000000004">
      <c r="A435" s="68"/>
      <c r="B435" s="68"/>
      <c r="C435" s="68"/>
      <c r="D435" s="68"/>
      <c r="E435" s="68"/>
      <c r="F435" s="354"/>
      <c r="G435" s="354"/>
      <c r="H435" s="354"/>
      <c r="I435" s="354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354"/>
      <c r="Y435" s="925"/>
    </row>
    <row r="436" spans="1:25" ht="24" x14ac:dyDescent="0.55000000000000004">
      <c r="A436" s="68"/>
      <c r="B436" s="68"/>
      <c r="C436" s="68"/>
      <c r="D436" s="68"/>
      <c r="E436" s="68"/>
      <c r="F436" s="354"/>
      <c r="G436" s="354"/>
      <c r="H436" s="354"/>
      <c r="I436" s="354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354"/>
      <c r="Y436" s="925"/>
    </row>
    <row r="437" spans="1:25" ht="24" x14ac:dyDescent="0.55000000000000004">
      <c r="A437" s="68"/>
      <c r="B437" s="68"/>
      <c r="C437" s="68"/>
      <c r="D437" s="68"/>
      <c r="E437" s="68"/>
      <c r="F437" s="354"/>
      <c r="G437" s="354"/>
      <c r="H437" s="354"/>
      <c r="I437" s="354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354"/>
      <c r="Y437" s="925"/>
    </row>
    <row r="438" spans="1:25" ht="24" x14ac:dyDescent="0.55000000000000004">
      <c r="A438" s="68"/>
      <c r="B438" s="68"/>
      <c r="C438" s="68"/>
      <c r="D438" s="68"/>
      <c r="E438" s="68"/>
      <c r="F438" s="354"/>
      <c r="G438" s="354"/>
      <c r="H438" s="354"/>
      <c r="I438" s="354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354"/>
      <c r="Y438" s="925"/>
    </row>
    <row r="439" spans="1:25" ht="24" x14ac:dyDescent="0.55000000000000004">
      <c r="A439" s="68"/>
      <c r="B439" s="68"/>
      <c r="C439" s="68"/>
      <c r="D439" s="68"/>
      <c r="E439" s="68"/>
      <c r="F439" s="354"/>
      <c r="G439" s="354"/>
      <c r="H439" s="354"/>
      <c r="I439" s="354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354"/>
      <c r="Y439" s="925"/>
    </row>
    <row r="440" spans="1:25" ht="24" x14ac:dyDescent="0.55000000000000004">
      <c r="A440" s="68"/>
      <c r="B440" s="68"/>
      <c r="C440" s="68"/>
      <c r="D440" s="68"/>
      <c r="E440" s="68"/>
      <c r="F440" s="354"/>
      <c r="G440" s="354"/>
      <c r="H440" s="354"/>
      <c r="I440" s="354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354"/>
      <c r="Y440" s="925"/>
    </row>
    <row r="441" spans="1:25" ht="24" x14ac:dyDescent="0.55000000000000004">
      <c r="A441" s="68"/>
      <c r="B441" s="68"/>
      <c r="C441" s="68"/>
      <c r="D441" s="68"/>
      <c r="E441" s="68"/>
      <c r="F441" s="354"/>
      <c r="G441" s="354"/>
      <c r="H441" s="354"/>
      <c r="I441" s="354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354"/>
      <c r="Y441" s="925"/>
    </row>
    <row r="442" spans="1:25" ht="24" x14ac:dyDescent="0.55000000000000004">
      <c r="A442" s="68"/>
      <c r="B442" s="68"/>
      <c r="C442" s="68"/>
      <c r="D442" s="68"/>
      <c r="E442" s="68"/>
      <c r="F442" s="354"/>
      <c r="G442" s="354"/>
      <c r="H442" s="354"/>
      <c r="I442" s="354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354"/>
      <c r="Y442" s="925"/>
    </row>
    <row r="443" spans="1:25" ht="24" x14ac:dyDescent="0.55000000000000004">
      <c r="A443" s="68"/>
      <c r="B443" s="68"/>
      <c r="C443" s="68"/>
      <c r="D443" s="68"/>
      <c r="E443" s="68"/>
      <c r="F443" s="354"/>
      <c r="G443" s="354"/>
      <c r="H443" s="354"/>
      <c r="I443" s="354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354"/>
      <c r="Y443" s="925"/>
    </row>
    <row r="444" spans="1:25" ht="24" x14ac:dyDescent="0.55000000000000004">
      <c r="A444" s="68"/>
      <c r="B444" s="68"/>
      <c r="C444" s="68"/>
      <c r="D444" s="68"/>
      <c r="E444" s="68"/>
      <c r="F444" s="354"/>
      <c r="G444" s="354"/>
      <c r="H444" s="354"/>
      <c r="I444" s="354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354"/>
      <c r="Y444" s="925"/>
    </row>
    <row r="445" spans="1:25" ht="24" x14ac:dyDescent="0.55000000000000004">
      <c r="A445" s="68"/>
      <c r="B445" s="68"/>
      <c r="C445" s="68"/>
      <c r="D445" s="68"/>
      <c r="E445" s="68"/>
      <c r="F445" s="354"/>
      <c r="G445" s="354"/>
      <c r="H445" s="354"/>
      <c r="I445" s="354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354"/>
      <c r="Y445" s="925"/>
    </row>
    <row r="446" spans="1:25" ht="24" x14ac:dyDescent="0.55000000000000004">
      <c r="A446" s="68"/>
      <c r="B446" s="68"/>
      <c r="C446" s="68"/>
      <c r="D446" s="68"/>
      <c r="E446" s="68"/>
      <c r="F446" s="354"/>
      <c r="G446" s="354"/>
      <c r="H446" s="354"/>
      <c r="I446" s="354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354"/>
      <c r="Y446" s="925"/>
    </row>
    <row r="447" spans="1:25" ht="24" x14ac:dyDescent="0.55000000000000004">
      <c r="A447" s="68"/>
      <c r="B447" s="68"/>
      <c r="C447" s="68"/>
      <c r="D447" s="68"/>
      <c r="E447" s="68"/>
      <c r="F447" s="354"/>
      <c r="G447" s="354"/>
      <c r="H447" s="354"/>
      <c r="I447" s="354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354"/>
      <c r="Y447" s="925"/>
    </row>
    <row r="448" spans="1:25" ht="24" x14ac:dyDescent="0.55000000000000004">
      <c r="A448" s="68"/>
      <c r="B448" s="68"/>
      <c r="C448" s="68"/>
      <c r="D448" s="68"/>
      <c r="E448" s="68"/>
      <c r="F448" s="354"/>
      <c r="G448" s="354"/>
      <c r="H448" s="354"/>
      <c r="I448" s="354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354"/>
      <c r="Y448" s="925"/>
    </row>
    <row r="449" spans="1:25" ht="24" x14ac:dyDescent="0.55000000000000004">
      <c r="A449" s="68"/>
      <c r="B449" s="68"/>
      <c r="C449" s="68"/>
      <c r="D449" s="68"/>
      <c r="E449" s="68"/>
      <c r="F449" s="354"/>
      <c r="G449" s="354"/>
      <c r="H449" s="354"/>
      <c r="I449" s="354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354"/>
      <c r="Y449" s="925"/>
    </row>
    <row r="450" spans="1:25" ht="24" x14ac:dyDescent="0.55000000000000004">
      <c r="A450" s="68"/>
      <c r="B450" s="68"/>
      <c r="C450" s="68"/>
      <c r="D450" s="68"/>
      <c r="E450" s="68"/>
      <c r="F450" s="354"/>
      <c r="G450" s="354"/>
      <c r="H450" s="354"/>
      <c r="I450" s="354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354"/>
      <c r="Y450" s="925"/>
    </row>
    <row r="451" spans="1:25" ht="24" x14ac:dyDescent="0.55000000000000004">
      <c r="A451" s="68"/>
      <c r="B451" s="68"/>
      <c r="C451" s="68"/>
      <c r="D451" s="68"/>
      <c r="E451" s="68"/>
      <c r="F451" s="354"/>
      <c r="G451" s="354"/>
      <c r="H451" s="354"/>
      <c r="I451" s="354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354"/>
      <c r="Y451" s="925"/>
    </row>
    <row r="452" spans="1:25" ht="24" x14ac:dyDescent="0.55000000000000004">
      <c r="A452" s="68"/>
      <c r="B452" s="68"/>
      <c r="C452" s="68"/>
      <c r="D452" s="68"/>
      <c r="E452" s="68"/>
      <c r="F452" s="354"/>
      <c r="G452" s="354"/>
      <c r="H452" s="354"/>
      <c r="I452" s="354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354"/>
      <c r="Y452" s="925"/>
    </row>
    <row r="453" spans="1:25" ht="24" x14ac:dyDescent="0.55000000000000004">
      <c r="A453" s="68"/>
      <c r="B453" s="68"/>
      <c r="C453" s="68"/>
      <c r="D453" s="68"/>
      <c r="E453" s="68"/>
      <c r="F453" s="354"/>
      <c r="G453" s="354"/>
      <c r="H453" s="354"/>
      <c r="I453" s="354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354"/>
      <c r="Y453" s="925"/>
    </row>
    <row r="454" spans="1:25" ht="24" x14ac:dyDescent="0.55000000000000004">
      <c r="A454" s="68"/>
      <c r="B454" s="68"/>
      <c r="C454" s="68"/>
      <c r="D454" s="68"/>
      <c r="E454" s="68"/>
      <c r="F454" s="354"/>
      <c r="G454" s="354"/>
      <c r="H454" s="354"/>
      <c r="I454" s="354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354"/>
      <c r="Y454" s="925"/>
    </row>
    <row r="455" spans="1:25" ht="24" x14ac:dyDescent="0.55000000000000004">
      <c r="A455" s="68"/>
      <c r="B455" s="68"/>
      <c r="C455" s="68"/>
      <c r="D455" s="68"/>
      <c r="E455" s="68"/>
      <c r="F455" s="354"/>
      <c r="G455" s="354"/>
      <c r="H455" s="354"/>
      <c r="I455" s="354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354"/>
      <c r="Y455" s="925"/>
    </row>
    <row r="456" spans="1:25" ht="24" x14ac:dyDescent="0.55000000000000004">
      <c r="A456" s="68"/>
      <c r="B456" s="68"/>
      <c r="C456" s="68"/>
      <c r="D456" s="68"/>
      <c r="E456" s="68"/>
      <c r="F456" s="354"/>
      <c r="G456" s="354"/>
      <c r="H456" s="354"/>
      <c r="I456" s="354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354"/>
      <c r="Y456" s="925"/>
    </row>
    <row r="457" spans="1:25" ht="24" x14ac:dyDescent="0.55000000000000004">
      <c r="A457" s="68"/>
      <c r="B457" s="68"/>
      <c r="C457" s="68"/>
      <c r="D457" s="68"/>
      <c r="E457" s="68"/>
      <c r="F457" s="354"/>
      <c r="G457" s="354"/>
      <c r="H457" s="354"/>
      <c r="I457" s="354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354"/>
      <c r="Y457" s="925"/>
    </row>
    <row r="458" spans="1:25" ht="24" x14ac:dyDescent="0.55000000000000004">
      <c r="A458" s="68"/>
      <c r="B458" s="68"/>
      <c r="C458" s="68"/>
      <c r="D458" s="68"/>
      <c r="E458" s="68"/>
      <c r="F458" s="354"/>
      <c r="G458" s="354"/>
      <c r="H458" s="354"/>
      <c r="I458" s="354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354"/>
      <c r="Y458" s="925"/>
    </row>
    <row r="459" spans="1:25" ht="24" x14ac:dyDescent="0.55000000000000004">
      <c r="A459" s="68"/>
      <c r="B459" s="68"/>
      <c r="C459" s="68"/>
      <c r="D459" s="68"/>
      <c r="E459" s="68"/>
      <c r="F459" s="354"/>
      <c r="G459" s="354"/>
      <c r="H459" s="354"/>
      <c r="I459" s="354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354"/>
      <c r="Y459" s="925"/>
    </row>
    <row r="460" spans="1:25" ht="24" x14ac:dyDescent="0.55000000000000004">
      <c r="A460" s="68"/>
      <c r="B460" s="68"/>
      <c r="C460" s="68"/>
      <c r="D460" s="68"/>
      <c r="E460" s="68"/>
      <c r="F460" s="354"/>
      <c r="G460" s="354"/>
      <c r="H460" s="354"/>
      <c r="I460" s="354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354"/>
      <c r="Y460" s="925"/>
    </row>
    <row r="461" spans="1:25" ht="24" x14ac:dyDescent="0.55000000000000004">
      <c r="A461" s="68"/>
      <c r="B461" s="68"/>
      <c r="C461" s="68"/>
      <c r="D461" s="68"/>
      <c r="E461" s="68"/>
      <c r="F461" s="354"/>
      <c r="G461" s="354"/>
      <c r="H461" s="354"/>
      <c r="I461" s="354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354"/>
      <c r="Y461" s="925"/>
    </row>
    <row r="462" spans="1:25" ht="24" x14ac:dyDescent="0.55000000000000004">
      <c r="A462" s="68"/>
      <c r="B462" s="68"/>
      <c r="C462" s="68"/>
      <c r="D462" s="68"/>
      <c r="E462" s="68"/>
      <c r="F462" s="354"/>
      <c r="G462" s="354"/>
      <c r="H462" s="354"/>
      <c r="I462" s="354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354"/>
      <c r="Y462" s="925"/>
    </row>
    <row r="463" spans="1:25" ht="24" x14ac:dyDescent="0.55000000000000004">
      <c r="A463" s="68"/>
      <c r="B463" s="68"/>
      <c r="C463" s="68"/>
      <c r="D463" s="68"/>
      <c r="E463" s="68"/>
      <c r="F463" s="354"/>
      <c r="G463" s="354"/>
      <c r="H463" s="354"/>
      <c r="I463" s="354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354"/>
      <c r="Y463" s="925"/>
    </row>
    <row r="464" spans="1:25" ht="24" x14ac:dyDescent="0.55000000000000004">
      <c r="A464" s="68"/>
      <c r="B464" s="68"/>
      <c r="C464" s="68"/>
      <c r="D464" s="68"/>
      <c r="E464" s="68"/>
      <c r="F464" s="354"/>
      <c r="G464" s="354"/>
      <c r="H464" s="354"/>
      <c r="I464" s="354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354"/>
      <c r="Y464" s="925"/>
    </row>
    <row r="465" spans="1:25" ht="24" x14ac:dyDescent="0.55000000000000004">
      <c r="A465" s="68"/>
      <c r="B465" s="68"/>
      <c r="C465" s="68"/>
      <c r="D465" s="68"/>
      <c r="E465" s="68"/>
      <c r="F465" s="354"/>
      <c r="G465" s="354"/>
      <c r="H465" s="354"/>
      <c r="I465" s="354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354"/>
      <c r="Y465" s="925"/>
    </row>
    <row r="466" spans="1:25" ht="24" x14ac:dyDescent="0.55000000000000004">
      <c r="A466" s="68"/>
      <c r="B466" s="68"/>
      <c r="C466" s="68"/>
      <c r="D466" s="68"/>
      <c r="E466" s="68"/>
      <c r="F466" s="354"/>
      <c r="G466" s="354"/>
      <c r="H466" s="354"/>
      <c r="I466" s="354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354"/>
      <c r="Y466" s="925"/>
    </row>
    <row r="467" spans="1:25" ht="24" x14ac:dyDescent="0.55000000000000004">
      <c r="A467" s="68"/>
      <c r="B467" s="68"/>
      <c r="C467" s="68"/>
      <c r="D467" s="68"/>
      <c r="E467" s="68"/>
      <c r="F467" s="354"/>
      <c r="G467" s="354"/>
      <c r="H467" s="354"/>
      <c r="I467" s="354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354"/>
      <c r="Y467" s="925"/>
    </row>
    <row r="468" spans="1:25" ht="24" x14ac:dyDescent="0.55000000000000004">
      <c r="A468" s="68"/>
      <c r="B468" s="68"/>
      <c r="C468" s="68"/>
      <c r="D468" s="68"/>
      <c r="E468" s="68"/>
      <c r="F468" s="354"/>
      <c r="G468" s="354"/>
      <c r="H468" s="354"/>
      <c r="I468" s="354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354"/>
      <c r="Y468" s="925"/>
    </row>
    <row r="469" spans="1:25" ht="24" x14ac:dyDescent="0.55000000000000004">
      <c r="A469" s="68"/>
      <c r="B469" s="68"/>
      <c r="C469" s="68"/>
      <c r="D469" s="68"/>
      <c r="E469" s="68"/>
      <c r="F469" s="354"/>
      <c r="G469" s="354"/>
      <c r="H469" s="354"/>
      <c r="I469" s="354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354"/>
      <c r="Y469" s="925"/>
    </row>
    <row r="470" spans="1:25" ht="24" x14ac:dyDescent="0.55000000000000004">
      <c r="A470" s="68"/>
      <c r="B470" s="68"/>
      <c r="C470" s="68"/>
      <c r="D470" s="68"/>
      <c r="E470" s="68"/>
      <c r="F470" s="354"/>
      <c r="G470" s="354"/>
      <c r="H470" s="354"/>
      <c r="I470" s="354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354"/>
      <c r="Y470" s="925"/>
    </row>
    <row r="471" spans="1:25" ht="24" x14ac:dyDescent="0.55000000000000004">
      <c r="A471" s="68"/>
      <c r="B471" s="68"/>
      <c r="C471" s="68"/>
      <c r="D471" s="68"/>
      <c r="E471" s="68"/>
      <c r="F471" s="354"/>
      <c r="G471" s="354"/>
      <c r="H471" s="354"/>
      <c r="I471" s="354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354"/>
      <c r="Y471" s="925"/>
    </row>
    <row r="472" spans="1:25" ht="24" x14ac:dyDescent="0.55000000000000004">
      <c r="A472" s="68"/>
      <c r="B472" s="68"/>
      <c r="C472" s="68"/>
      <c r="D472" s="68"/>
      <c r="E472" s="68"/>
      <c r="F472" s="354"/>
      <c r="G472" s="354"/>
      <c r="H472" s="354"/>
      <c r="I472" s="354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354"/>
      <c r="Y472" s="925"/>
    </row>
    <row r="473" spans="1:25" ht="24" x14ac:dyDescent="0.55000000000000004">
      <c r="A473" s="68"/>
      <c r="B473" s="68"/>
      <c r="C473" s="68"/>
      <c r="D473" s="68"/>
      <c r="E473" s="68"/>
      <c r="F473" s="354"/>
      <c r="G473" s="354"/>
      <c r="H473" s="354"/>
      <c r="I473" s="354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354"/>
      <c r="Y473" s="925"/>
    </row>
    <row r="474" spans="1:25" ht="24" x14ac:dyDescent="0.55000000000000004">
      <c r="A474" s="68"/>
      <c r="B474" s="68"/>
      <c r="C474" s="68"/>
      <c r="D474" s="68"/>
      <c r="E474" s="68"/>
      <c r="F474" s="354"/>
      <c r="G474" s="354"/>
      <c r="H474" s="354"/>
      <c r="I474" s="354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354"/>
      <c r="Y474" s="925"/>
    </row>
    <row r="475" spans="1:25" ht="24" x14ac:dyDescent="0.55000000000000004">
      <c r="A475" s="68"/>
      <c r="B475" s="68"/>
      <c r="C475" s="68"/>
      <c r="D475" s="68"/>
      <c r="E475" s="68"/>
      <c r="F475" s="354"/>
      <c r="G475" s="354"/>
      <c r="H475" s="354"/>
      <c r="I475" s="354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354"/>
      <c r="Y475" s="925"/>
    </row>
    <row r="476" spans="1:25" ht="24" x14ac:dyDescent="0.55000000000000004">
      <c r="A476" s="68"/>
      <c r="B476" s="68"/>
      <c r="C476" s="68"/>
      <c r="D476" s="68"/>
      <c r="E476" s="68"/>
      <c r="F476" s="354"/>
      <c r="G476" s="354"/>
      <c r="H476" s="354"/>
      <c r="I476" s="354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354"/>
      <c r="Y476" s="925"/>
    </row>
    <row r="477" spans="1:25" ht="24" x14ac:dyDescent="0.55000000000000004">
      <c r="A477" s="68"/>
      <c r="B477" s="68"/>
      <c r="C477" s="68"/>
      <c r="D477" s="68"/>
      <c r="E477" s="68"/>
      <c r="F477" s="354"/>
      <c r="G477" s="354"/>
      <c r="H477" s="354"/>
      <c r="I477" s="354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354"/>
      <c r="Y477" s="925"/>
    </row>
    <row r="478" spans="1:25" ht="24" x14ac:dyDescent="0.55000000000000004">
      <c r="A478" s="68"/>
      <c r="B478" s="68"/>
      <c r="C478" s="68"/>
      <c r="D478" s="68"/>
      <c r="E478" s="68"/>
      <c r="F478" s="354"/>
      <c r="G478" s="354"/>
      <c r="H478" s="354"/>
      <c r="I478" s="354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354"/>
      <c r="Y478" s="925"/>
    </row>
    <row r="479" spans="1:25" ht="24" x14ac:dyDescent="0.55000000000000004">
      <c r="A479" s="68"/>
      <c r="B479" s="68"/>
      <c r="C479" s="68"/>
      <c r="D479" s="68"/>
      <c r="E479" s="68"/>
      <c r="F479" s="354"/>
      <c r="G479" s="354"/>
      <c r="H479" s="354"/>
      <c r="I479" s="354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354"/>
      <c r="Y479" s="925"/>
    </row>
    <row r="480" spans="1:25" ht="24" x14ac:dyDescent="0.55000000000000004">
      <c r="A480" s="68"/>
      <c r="B480" s="68"/>
      <c r="C480" s="68"/>
      <c r="D480" s="68"/>
      <c r="E480" s="68"/>
      <c r="F480" s="354"/>
      <c r="G480" s="354"/>
      <c r="H480" s="354"/>
      <c r="I480" s="354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354"/>
      <c r="Y480" s="925"/>
    </row>
    <row r="481" spans="1:25" ht="24" x14ac:dyDescent="0.55000000000000004">
      <c r="A481" s="68"/>
      <c r="B481" s="68"/>
      <c r="C481" s="68"/>
      <c r="D481" s="68"/>
      <c r="E481" s="68"/>
      <c r="F481" s="354"/>
      <c r="G481" s="354"/>
      <c r="H481" s="354"/>
      <c r="I481" s="354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354"/>
      <c r="Y481" s="925"/>
    </row>
    <row r="482" spans="1:25" ht="24" x14ac:dyDescent="0.55000000000000004">
      <c r="A482" s="68"/>
      <c r="B482" s="68"/>
      <c r="C482" s="68"/>
      <c r="D482" s="68"/>
      <c r="E482" s="68"/>
      <c r="F482" s="354"/>
      <c r="G482" s="354"/>
      <c r="H482" s="354"/>
      <c r="I482" s="354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354"/>
      <c r="Y482" s="925"/>
    </row>
    <row r="483" spans="1:25" ht="24" x14ac:dyDescent="0.55000000000000004">
      <c r="A483" s="68"/>
      <c r="B483" s="68"/>
      <c r="C483" s="68"/>
      <c r="D483" s="68"/>
      <c r="E483" s="68"/>
      <c r="F483" s="354"/>
      <c r="G483" s="354"/>
      <c r="H483" s="354"/>
      <c r="I483" s="354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354"/>
      <c r="Y483" s="925"/>
    </row>
    <row r="484" spans="1:25" ht="24" x14ac:dyDescent="0.55000000000000004">
      <c r="A484" s="68"/>
      <c r="B484" s="68"/>
      <c r="C484" s="68"/>
      <c r="D484" s="68"/>
      <c r="E484" s="68"/>
      <c r="F484" s="354"/>
      <c r="G484" s="354"/>
      <c r="H484" s="354"/>
      <c r="I484" s="354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354"/>
      <c r="Y484" s="925"/>
    </row>
    <row r="485" spans="1:25" ht="24" x14ac:dyDescent="0.55000000000000004">
      <c r="A485" s="68"/>
      <c r="B485" s="68"/>
      <c r="C485" s="68"/>
      <c r="D485" s="68"/>
      <c r="E485" s="68"/>
      <c r="F485" s="354"/>
      <c r="G485" s="354"/>
      <c r="H485" s="354"/>
      <c r="I485" s="354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354"/>
      <c r="Y485" s="925"/>
    </row>
    <row r="486" spans="1:25" ht="24" x14ac:dyDescent="0.55000000000000004">
      <c r="A486" s="68"/>
      <c r="B486" s="68"/>
      <c r="C486" s="68"/>
      <c r="D486" s="68"/>
      <c r="E486" s="68"/>
      <c r="F486" s="354"/>
      <c r="G486" s="354"/>
      <c r="H486" s="354"/>
      <c r="I486" s="354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354"/>
      <c r="Y486" s="925"/>
    </row>
    <row r="487" spans="1:25" ht="24" x14ac:dyDescent="0.55000000000000004">
      <c r="A487" s="68"/>
      <c r="B487" s="68"/>
      <c r="C487" s="68"/>
      <c r="D487" s="68"/>
      <c r="E487" s="68"/>
      <c r="F487" s="354"/>
      <c r="G487" s="354"/>
      <c r="H487" s="354"/>
      <c r="I487" s="354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354"/>
      <c r="Y487" s="925"/>
    </row>
    <row r="488" spans="1:25" ht="24" x14ac:dyDescent="0.55000000000000004">
      <c r="A488" s="68"/>
      <c r="B488" s="68"/>
      <c r="C488" s="68"/>
      <c r="D488" s="68"/>
      <c r="E488" s="68"/>
      <c r="F488" s="354"/>
      <c r="G488" s="354"/>
      <c r="H488" s="354"/>
      <c r="I488" s="354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354"/>
      <c r="Y488" s="925"/>
    </row>
    <row r="489" spans="1:25" ht="24" x14ac:dyDescent="0.55000000000000004">
      <c r="A489" s="68"/>
      <c r="B489" s="68"/>
      <c r="C489" s="68"/>
      <c r="D489" s="68"/>
      <c r="E489" s="68"/>
      <c r="F489" s="354"/>
      <c r="G489" s="354"/>
      <c r="H489" s="354"/>
      <c r="I489" s="354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354"/>
      <c r="Y489" s="925"/>
    </row>
    <row r="490" spans="1:25" ht="24" x14ac:dyDescent="0.55000000000000004">
      <c r="A490" s="68"/>
      <c r="B490" s="68"/>
      <c r="C490" s="68"/>
      <c r="D490" s="68"/>
      <c r="E490" s="68"/>
      <c r="F490" s="354"/>
      <c r="G490" s="354"/>
      <c r="H490" s="354"/>
      <c r="I490" s="354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354"/>
      <c r="Y490" s="925"/>
    </row>
    <row r="491" spans="1:25" ht="24" x14ac:dyDescent="0.55000000000000004">
      <c r="A491" s="68"/>
      <c r="B491" s="68"/>
      <c r="C491" s="68"/>
      <c r="D491" s="68"/>
      <c r="E491" s="68"/>
      <c r="F491" s="354"/>
      <c r="G491" s="354"/>
      <c r="H491" s="354"/>
      <c r="I491" s="354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354"/>
      <c r="Y491" s="925"/>
    </row>
    <row r="492" spans="1:25" ht="24" x14ac:dyDescent="0.55000000000000004">
      <c r="A492" s="68"/>
      <c r="B492" s="68"/>
      <c r="C492" s="68"/>
      <c r="D492" s="68"/>
      <c r="E492" s="68"/>
      <c r="F492" s="354"/>
      <c r="G492" s="354"/>
      <c r="H492" s="354"/>
      <c r="I492" s="354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354"/>
      <c r="Y492" s="925"/>
    </row>
    <row r="493" spans="1:25" ht="24" x14ac:dyDescent="0.55000000000000004">
      <c r="A493" s="68"/>
      <c r="B493" s="68"/>
      <c r="C493" s="68"/>
      <c r="D493" s="68"/>
      <c r="E493" s="68"/>
      <c r="F493" s="354"/>
      <c r="G493" s="354"/>
      <c r="H493" s="354"/>
      <c r="I493" s="354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354"/>
      <c r="Y493" s="925"/>
    </row>
    <row r="494" spans="1:25" ht="24" x14ac:dyDescent="0.55000000000000004">
      <c r="A494" s="68"/>
      <c r="B494" s="68"/>
      <c r="C494" s="68"/>
      <c r="D494" s="68"/>
      <c r="E494" s="68"/>
      <c r="F494" s="354"/>
      <c r="G494" s="354"/>
      <c r="H494" s="354"/>
      <c r="I494" s="354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354"/>
      <c r="Y494" s="925"/>
    </row>
    <row r="495" spans="1:25" ht="24" x14ac:dyDescent="0.55000000000000004">
      <c r="A495" s="68"/>
      <c r="B495" s="68"/>
      <c r="C495" s="68"/>
      <c r="D495" s="68"/>
      <c r="E495" s="68"/>
      <c r="F495" s="354"/>
      <c r="G495" s="354"/>
      <c r="H495" s="354"/>
      <c r="I495" s="354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354"/>
      <c r="Y495" s="925"/>
    </row>
    <row r="496" spans="1:25" ht="24" x14ac:dyDescent="0.55000000000000004">
      <c r="A496" s="68"/>
      <c r="B496" s="68"/>
      <c r="C496" s="68"/>
      <c r="D496" s="68"/>
      <c r="E496" s="68"/>
      <c r="F496" s="354"/>
      <c r="G496" s="354"/>
      <c r="H496" s="354"/>
      <c r="I496" s="354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354"/>
      <c r="Y496" s="925"/>
    </row>
    <row r="497" spans="1:25" ht="24" x14ac:dyDescent="0.55000000000000004">
      <c r="A497" s="68"/>
      <c r="B497" s="68"/>
      <c r="C497" s="68"/>
      <c r="D497" s="68"/>
      <c r="E497" s="68"/>
      <c r="F497" s="354"/>
      <c r="G497" s="354"/>
      <c r="H497" s="354"/>
      <c r="I497" s="354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354"/>
      <c r="Y497" s="925"/>
    </row>
    <row r="498" spans="1:25" ht="24" x14ac:dyDescent="0.55000000000000004">
      <c r="A498" s="68"/>
      <c r="B498" s="68"/>
      <c r="C498" s="68"/>
      <c r="D498" s="68"/>
      <c r="E498" s="68"/>
      <c r="F498" s="354"/>
      <c r="G498" s="354"/>
      <c r="H498" s="354"/>
      <c r="I498" s="354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354"/>
      <c r="Y498" s="925"/>
    </row>
    <row r="499" spans="1:25" ht="24" x14ac:dyDescent="0.55000000000000004">
      <c r="A499" s="68"/>
      <c r="B499" s="68"/>
      <c r="C499" s="68"/>
      <c r="D499" s="68"/>
      <c r="E499" s="68"/>
      <c r="F499" s="354"/>
      <c r="G499" s="354"/>
      <c r="H499" s="354"/>
      <c r="I499" s="354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354"/>
      <c r="Y499" s="925"/>
    </row>
    <row r="500" spans="1:25" ht="24" x14ac:dyDescent="0.55000000000000004">
      <c r="A500" s="68"/>
      <c r="B500" s="68"/>
      <c r="C500" s="68"/>
      <c r="D500" s="68"/>
      <c r="E500" s="68"/>
      <c r="F500" s="354"/>
      <c r="G500" s="354"/>
      <c r="H500" s="354"/>
      <c r="I500" s="354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354"/>
      <c r="Y500" s="925"/>
    </row>
    <row r="501" spans="1:25" ht="24" x14ac:dyDescent="0.55000000000000004">
      <c r="A501" s="68"/>
      <c r="B501" s="68"/>
      <c r="C501" s="68"/>
      <c r="D501" s="68"/>
      <c r="E501" s="68"/>
      <c r="F501" s="354"/>
      <c r="G501" s="354"/>
      <c r="H501" s="354"/>
      <c r="I501" s="354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354"/>
      <c r="Y501" s="925"/>
    </row>
    <row r="502" spans="1:25" ht="24" x14ac:dyDescent="0.55000000000000004">
      <c r="A502" s="68"/>
      <c r="B502" s="68"/>
      <c r="C502" s="68"/>
      <c r="D502" s="68"/>
      <c r="E502" s="68"/>
      <c r="F502" s="354"/>
      <c r="G502" s="354"/>
      <c r="H502" s="354"/>
      <c r="I502" s="354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354"/>
      <c r="Y502" s="925"/>
    </row>
    <row r="503" spans="1:25" ht="24" x14ac:dyDescent="0.55000000000000004">
      <c r="A503" s="68"/>
      <c r="B503" s="68"/>
      <c r="C503" s="68"/>
      <c r="D503" s="68"/>
      <c r="E503" s="68"/>
      <c r="F503" s="354"/>
      <c r="G503" s="354"/>
      <c r="H503" s="354"/>
      <c r="I503" s="354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354"/>
      <c r="Y503" s="925"/>
    </row>
    <row r="504" spans="1:25" ht="24" x14ac:dyDescent="0.55000000000000004">
      <c r="A504" s="68"/>
      <c r="B504" s="68"/>
      <c r="C504" s="68"/>
      <c r="D504" s="68"/>
      <c r="E504" s="68"/>
      <c r="F504" s="354"/>
      <c r="G504" s="354"/>
      <c r="H504" s="354"/>
      <c r="I504" s="354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354"/>
      <c r="Y504" s="925"/>
    </row>
    <row r="505" spans="1:25" ht="24" x14ac:dyDescent="0.55000000000000004">
      <c r="A505" s="68"/>
      <c r="B505" s="68"/>
      <c r="C505" s="68"/>
      <c r="D505" s="68"/>
      <c r="E505" s="68"/>
      <c r="F505" s="354"/>
      <c r="G505" s="354"/>
      <c r="H505" s="354"/>
      <c r="I505" s="354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354"/>
      <c r="Y505" s="925"/>
    </row>
    <row r="506" spans="1:25" ht="24" x14ac:dyDescent="0.55000000000000004">
      <c r="A506" s="68"/>
      <c r="B506" s="68"/>
      <c r="C506" s="68"/>
      <c r="D506" s="68"/>
      <c r="E506" s="68"/>
      <c r="F506" s="354"/>
      <c r="G506" s="354"/>
      <c r="H506" s="354"/>
      <c r="I506" s="354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354"/>
      <c r="Y506" s="925"/>
    </row>
    <row r="507" spans="1:25" ht="24" x14ac:dyDescent="0.55000000000000004">
      <c r="A507" s="68"/>
      <c r="B507" s="68"/>
      <c r="C507" s="68"/>
      <c r="D507" s="68"/>
      <c r="E507" s="68"/>
      <c r="F507" s="354"/>
      <c r="G507" s="354"/>
      <c r="H507" s="354"/>
      <c r="I507" s="354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354"/>
      <c r="Y507" s="925"/>
    </row>
    <row r="508" spans="1:25" ht="24" x14ac:dyDescent="0.55000000000000004">
      <c r="A508" s="68"/>
      <c r="B508" s="68"/>
      <c r="C508" s="68"/>
      <c r="D508" s="68"/>
      <c r="E508" s="68"/>
      <c r="F508" s="354"/>
      <c r="G508" s="354"/>
      <c r="H508" s="354"/>
      <c r="I508" s="354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354"/>
      <c r="Y508" s="925"/>
    </row>
    <row r="509" spans="1:25" ht="24" x14ac:dyDescent="0.55000000000000004">
      <c r="A509" s="68"/>
      <c r="B509" s="68"/>
      <c r="C509" s="68"/>
      <c r="D509" s="68"/>
      <c r="E509" s="68"/>
      <c r="F509" s="354"/>
      <c r="G509" s="354"/>
      <c r="H509" s="354"/>
      <c r="I509" s="354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354"/>
      <c r="Y509" s="925"/>
    </row>
    <row r="510" spans="1:25" ht="24" x14ac:dyDescent="0.55000000000000004">
      <c r="A510" s="68"/>
      <c r="B510" s="68"/>
      <c r="C510" s="68"/>
      <c r="D510" s="68"/>
      <c r="E510" s="68"/>
      <c r="F510" s="354"/>
      <c r="G510" s="354"/>
      <c r="H510" s="354"/>
      <c r="I510" s="354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354"/>
      <c r="Y510" s="925"/>
    </row>
    <row r="511" spans="1:25" ht="24" x14ac:dyDescent="0.55000000000000004">
      <c r="A511" s="68"/>
      <c r="B511" s="68"/>
      <c r="C511" s="68"/>
      <c r="D511" s="68"/>
      <c r="E511" s="68"/>
      <c r="F511" s="354"/>
      <c r="G511" s="354"/>
      <c r="H511" s="354"/>
      <c r="I511" s="354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354"/>
      <c r="Y511" s="925"/>
    </row>
    <row r="512" spans="1:25" ht="24" x14ac:dyDescent="0.55000000000000004">
      <c r="A512" s="68"/>
      <c r="B512" s="68"/>
      <c r="C512" s="68"/>
      <c r="D512" s="68"/>
      <c r="E512" s="68"/>
      <c r="F512" s="354"/>
      <c r="G512" s="354"/>
      <c r="H512" s="354"/>
      <c r="I512" s="354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354"/>
      <c r="Y512" s="925"/>
    </row>
    <row r="513" spans="1:25" ht="24" x14ac:dyDescent="0.55000000000000004">
      <c r="A513" s="68"/>
      <c r="B513" s="68"/>
      <c r="C513" s="68"/>
      <c r="D513" s="68"/>
      <c r="E513" s="68"/>
      <c r="F513" s="354"/>
      <c r="G513" s="354"/>
      <c r="H513" s="354"/>
      <c r="I513" s="354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354"/>
      <c r="Y513" s="925"/>
    </row>
    <row r="514" spans="1:25" ht="24" x14ac:dyDescent="0.55000000000000004">
      <c r="A514" s="68"/>
      <c r="B514" s="68"/>
      <c r="C514" s="68"/>
      <c r="D514" s="68"/>
      <c r="E514" s="68"/>
      <c r="F514" s="354"/>
      <c r="G514" s="354"/>
      <c r="H514" s="354"/>
      <c r="I514" s="354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354"/>
      <c r="Y514" s="925"/>
    </row>
    <row r="515" spans="1:25" ht="24" x14ac:dyDescent="0.55000000000000004">
      <c r="A515" s="68"/>
      <c r="B515" s="68"/>
      <c r="C515" s="68"/>
      <c r="D515" s="68"/>
      <c r="E515" s="68"/>
      <c r="F515" s="354"/>
      <c r="G515" s="354"/>
      <c r="H515" s="354"/>
      <c r="I515" s="354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354"/>
      <c r="Y515" s="925"/>
    </row>
    <row r="516" spans="1:25" ht="24" x14ac:dyDescent="0.55000000000000004">
      <c r="A516" s="68"/>
      <c r="B516" s="68"/>
      <c r="C516" s="68"/>
      <c r="D516" s="68"/>
      <c r="E516" s="68"/>
      <c r="F516" s="354"/>
      <c r="G516" s="354"/>
      <c r="H516" s="354"/>
      <c r="I516" s="354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354"/>
      <c r="Y516" s="925"/>
    </row>
    <row r="517" spans="1:25" ht="24" x14ac:dyDescent="0.55000000000000004">
      <c r="A517" s="68"/>
      <c r="B517" s="68"/>
      <c r="C517" s="68"/>
      <c r="D517" s="68"/>
      <c r="E517" s="68"/>
      <c r="F517" s="354"/>
      <c r="G517" s="354"/>
      <c r="H517" s="354"/>
      <c r="I517" s="354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354"/>
      <c r="Y517" s="925"/>
    </row>
    <row r="518" spans="1:25" ht="24" x14ac:dyDescent="0.55000000000000004">
      <c r="A518" s="68"/>
      <c r="B518" s="68"/>
      <c r="C518" s="68"/>
      <c r="D518" s="68"/>
      <c r="E518" s="68"/>
      <c r="F518" s="354"/>
      <c r="G518" s="354"/>
      <c r="H518" s="354"/>
      <c r="I518" s="354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354"/>
      <c r="Y518" s="925"/>
    </row>
    <row r="519" spans="1:25" ht="24" x14ac:dyDescent="0.55000000000000004">
      <c r="A519" s="68"/>
      <c r="B519" s="68"/>
      <c r="C519" s="68"/>
      <c r="D519" s="68"/>
      <c r="E519" s="68"/>
      <c r="F519" s="354"/>
      <c r="G519" s="354"/>
      <c r="H519" s="354"/>
      <c r="I519" s="354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354"/>
      <c r="Y519" s="925"/>
    </row>
    <row r="520" spans="1:25" ht="24" x14ac:dyDescent="0.55000000000000004">
      <c r="A520" s="68"/>
      <c r="B520" s="68"/>
      <c r="C520" s="68"/>
      <c r="D520" s="68"/>
      <c r="E520" s="68"/>
      <c r="F520" s="354"/>
      <c r="G520" s="354"/>
      <c r="H520" s="354"/>
      <c r="I520" s="354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354"/>
      <c r="Y520" s="925"/>
    </row>
    <row r="521" spans="1:25" ht="24" x14ac:dyDescent="0.55000000000000004">
      <c r="A521" s="68"/>
      <c r="B521" s="68"/>
      <c r="C521" s="68"/>
      <c r="D521" s="68"/>
      <c r="E521" s="68"/>
      <c r="F521" s="354"/>
      <c r="G521" s="354"/>
      <c r="H521" s="354"/>
      <c r="I521" s="354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354"/>
      <c r="Y521" s="925"/>
    </row>
    <row r="522" spans="1:25" ht="24" x14ac:dyDescent="0.55000000000000004">
      <c r="A522" s="68"/>
      <c r="B522" s="68"/>
      <c r="C522" s="68"/>
      <c r="D522" s="68"/>
      <c r="E522" s="68"/>
      <c r="F522" s="354"/>
      <c r="G522" s="354"/>
      <c r="H522" s="354"/>
      <c r="I522" s="354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354"/>
      <c r="Y522" s="925"/>
    </row>
    <row r="523" spans="1:25" ht="24" x14ac:dyDescent="0.55000000000000004">
      <c r="A523" s="68"/>
      <c r="B523" s="68"/>
      <c r="C523" s="68"/>
      <c r="D523" s="68"/>
      <c r="E523" s="68"/>
      <c r="F523" s="354"/>
      <c r="G523" s="354"/>
      <c r="H523" s="354"/>
      <c r="I523" s="354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354"/>
      <c r="Y523" s="925"/>
    </row>
    <row r="524" spans="1:25" ht="24" x14ac:dyDescent="0.55000000000000004">
      <c r="A524" s="68"/>
      <c r="B524" s="68"/>
      <c r="C524" s="68"/>
      <c r="D524" s="68"/>
      <c r="E524" s="68"/>
      <c r="F524" s="354"/>
      <c r="G524" s="354"/>
      <c r="H524" s="354"/>
      <c r="I524" s="354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354"/>
      <c r="Y524" s="925"/>
    </row>
    <row r="525" spans="1:25" ht="24" x14ac:dyDescent="0.55000000000000004">
      <c r="A525" s="68"/>
      <c r="B525" s="68"/>
      <c r="C525" s="68"/>
      <c r="D525" s="68"/>
      <c r="E525" s="68"/>
      <c r="F525" s="354"/>
      <c r="G525" s="354"/>
      <c r="H525" s="354"/>
      <c r="I525" s="354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354"/>
      <c r="Y525" s="925"/>
    </row>
    <row r="526" spans="1:25" ht="24" x14ac:dyDescent="0.55000000000000004">
      <c r="A526" s="68"/>
      <c r="B526" s="68"/>
      <c r="C526" s="68"/>
      <c r="D526" s="68"/>
      <c r="E526" s="68"/>
      <c r="F526" s="354"/>
      <c r="G526" s="354"/>
      <c r="H526" s="354"/>
      <c r="I526" s="354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354"/>
      <c r="Y526" s="925"/>
    </row>
    <row r="527" spans="1:25" ht="24" x14ac:dyDescent="0.55000000000000004">
      <c r="A527" s="68"/>
      <c r="B527" s="68"/>
      <c r="C527" s="68"/>
      <c r="D527" s="68"/>
      <c r="E527" s="68"/>
      <c r="F527" s="354"/>
      <c r="G527" s="354"/>
      <c r="H527" s="354"/>
      <c r="I527" s="354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354"/>
      <c r="Y527" s="925"/>
    </row>
    <row r="528" spans="1:25" ht="24" x14ac:dyDescent="0.55000000000000004">
      <c r="A528" s="68"/>
      <c r="B528" s="68"/>
      <c r="C528" s="68"/>
      <c r="D528" s="68"/>
      <c r="E528" s="68"/>
      <c r="F528" s="354"/>
      <c r="G528" s="354"/>
      <c r="H528" s="354"/>
      <c r="I528" s="354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354"/>
      <c r="Y528" s="925"/>
    </row>
    <row r="529" spans="1:25" ht="24" x14ac:dyDescent="0.55000000000000004">
      <c r="A529" s="68"/>
      <c r="B529" s="68"/>
      <c r="C529" s="68"/>
      <c r="D529" s="68"/>
      <c r="E529" s="68"/>
      <c r="F529" s="354"/>
      <c r="G529" s="354"/>
      <c r="H529" s="354"/>
      <c r="I529" s="354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354"/>
      <c r="Y529" s="925"/>
    </row>
    <row r="530" spans="1:25" ht="24" x14ac:dyDescent="0.55000000000000004">
      <c r="A530" s="68"/>
      <c r="B530" s="68"/>
      <c r="C530" s="68"/>
      <c r="D530" s="68"/>
      <c r="E530" s="68"/>
      <c r="F530" s="354"/>
      <c r="G530" s="354"/>
      <c r="H530" s="354"/>
      <c r="I530" s="354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354"/>
      <c r="Y530" s="925"/>
    </row>
    <row r="531" spans="1:25" ht="24" x14ac:dyDescent="0.55000000000000004">
      <c r="A531" s="68"/>
      <c r="B531" s="68"/>
      <c r="C531" s="68"/>
      <c r="D531" s="68"/>
      <c r="E531" s="68"/>
      <c r="F531" s="354"/>
      <c r="G531" s="354"/>
      <c r="H531" s="354"/>
      <c r="I531" s="354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354"/>
      <c r="Y531" s="925"/>
    </row>
    <row r="532" spans="1:25" ht="24" x14ac:dyDescent="0.55000000000000004">
      <c r="A532" s="68"/>
      <c r="B532" s="68"/>
      <c r="C532" s="68"/>
      <c r="D532" s="68"/>
      <c r="E532" s="68"/>
      <c r="F532" s="354"/>
      <c r="G532" s="354"/>
      <c r="H532" s="354"/>
      <c r="I532" s="354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354"/>
      <c r="Y532" s="925"/>
    </row>
    <row r="533" spans="1:25" ht="24" x14ac:dyDescent="0.55000000000000004">
      <c r="A533" s="68"/>
      <c r="B533" s="68"/>
      <c r="C533" s="68"/>
      <c r="D533" s="68"/>
      <c r="E533" s="68"/>
      <c r="F533" s="354"/>
      <c r="G533" s="354"/>
      <c r="H533" s="354"/>
      <c r="I533" s="354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354"/>
      <c r="Y533" s="925"/>
    </row>
    <row r="534" spans="1:25" ht="24" x14ac:dyDescent="0.55000000000000004">
      <c r="A534" s="68"/>
      <c r="B534" s="68"/>
      <c r="C534" s="68"/>
      <c r="D534" s="68"/>
      <c r="E534" s="68"/>
      <c r="F534" s="354"/>
      <c r="G534" s="354"/>
      <c r="H534" s="354"/>
      <c r="I534" s="354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354"/>
      <c r="Y534" s="925"/>
    </row>
    <row r="535" spans="1:25" ht="24" x14ac:dyDescent="0.55000000000000004">
      <c r="A535" s="68"/>
      <c r="B535" s="68"/>
      <c r="C535" s="68"/>
      <c r="D535" s="68"/>
      <c r="E535" s="68"/>
      <c r="F535" s="354"/>
      <c r="G535" s="354"/>
      <c r="H535" s="354"/>
      <c r="I535" s="354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354"/>
      <c r="Y535" s="925"/>
    </row>
    <row r="536" spans="1:25" ht="24" x14ac:dyDescent="0.55000000000000004">
      <c r="A536" s="68"/>
      <c r="B536" s="68"/>
      <c r="C536" s="68"/>
      <c r="D536" s="68"/>
      <c r="E536" s="68"/>
      <c r="F536" s="354"/>
      <c r="G536" s="354"/>
      <c r="H536" s="354"/>
      <c r="I536" s="354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354"/>
      <c r="Y536" s="925"/>
    </row>
    <row r="537" spans="1:25" ht="24" x14ac:dyDescent="0.55000000000000004">
      <c r="A537" s="68"/>
      <c r="B537" s="68"/>
      <c r="C537" s="68"/>
      <c r="D537" s="68"/>
      <c r="E537" s="68"/>
      <c r="F537" s="354"/>
      <c r="G537" s="354"/>
      <c r="H537" s="354"/>
      <c r="I537" s="354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354"/>
      <c r="Y537" s="925"/>
    </row>
    <row r="538" spans="1:25" ht="24" x14ac:dyDescent="0.55000000000000004">
      <c r="A538" s="68"/>
      <c r="B538" s="68"/>
      <c r="C538" s="68"/>
      <c r="D538" s="68"/>
      <c r="E538" s="68"/>
      <c r="F538" s="354"/>
      <c r="G538" s="354"/>
      <c r="H538" s="354"/>
      <c r="I538" s="354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354"/>
      <c r="Y538" s="925"/>
    </row>
    <row r="539" spans="1:25" ht="24" x14ac:dyDescent="0.55000000000000004">
      <c r="A539" s="68"/>
      <c r="B539" s="68"/>
      <c r="C539" s="68"/>
      <c r="D539" s="68"/>
      <c r="E539" s="68"/>
      <c r="F539" s="354"/>
      <c r="G539" s="354"/>
      <c r="H539" s="354"/>
      <c r="I539" s="354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354"/>
      <c r="Y539" s="925"/>
    </row>
    <row r="540" spans="1:25" ht="24" x14ac:dyDescent="0.55000000000000004">
      <c r="A540" s="68"/>
      <c r="B540" s="68"/>
      <c r="C540" s="68"/>
      <c r="D540" s="68"/>
      <c r="E540" s="68"/>
      <c r="F540" s="354"/>
      <c r="G540" s="354"/>
      <c r="H540" s="354"/>
      <c r="I540" s="354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354"/>
      <c r="Y540" s="925"/>
    </row>
    <row r="541" spans="1:25" ht="24" x14ac:dyDescent="0.55000000000000004">
      <c r="A541" s="68"/>
      <c r="B541" s="68"/>
      <c r="C541" s="68"/>
      <c r="D541" s="68"/>
      <c r="E541" s="68"/>
      <c r="F541" s="354"/>
      <c r="G541" s="354"/>
      <c r="H541" s="354"/>
      <c r="I541" s="354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354"/>
      <c r="Y541" s="925"/>
    </row>
    <row r="542" spans="1:25" ht="24" x14ac:dyDescent="0.55000000000000004">
      <c r="A542" s="68"/>
      <c r="B542" s="68"/>
      <c r="C542" s="68"/>
      <c r="D542" s="68"/>
      <c r="E542" s="68"/>
      <c r="F542" s="354"/>
      <c r="G542" s="354"/>
      <c r="H542" s="354"/>
      <c r="I542" s="354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354"/>
      <c r="Y542" s="925"/>
    </row>
    <row r="543" spans="1:25" ht="24" x14ac:dyDescent="0.55000000000000004">
      <c r="A543" s="68"/>
      <c r="B543" s="68"/>
      <c r="C543" s="68"/>
      <c r="D543" s="68"/>
      <c r="E543" s="68"/>
      <c r="F543" s="354"/>
      <c r="G543" s="354"/>
      <c r="H543" s="354"/>
      <c r="I543" s="354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354"/>
      <c r="Y543" s="925"/>
    </row>
    <row r="544" spans="1:25" ht="24" x14ac:dyDescent="0.55000000000000004">
      <c r="A544" s="68"/>
      <c r="B544" s="68"/>
      <c r="C544" s="68"/>
      <c r="D544" s="68"/>
      <c r="E544" s="68"/>
      <c r="F544" s="354"/>
      <c r="G544" s="354"/>
      <c r="H544" s="354"/>
      <c r="I544" s="354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354"/>
      <c r="Y544" s="925"/>
    </row>
    <row r="545" spans="1:25" ht="24" x14ac:dyDescent="0.55000000000000004">
      <c r="A545" s="68"/>
      <c r="B545" s="68"/>
      <c r="C545" s="68"/>
      <c r="D545" s="68"/>
      <c r="E545" s="68"/>
      <c r="F545" s="354"/>
      <c r="G545" s="354"/>
      <c r="H545" s="354"/>
      <c r="I545" s="354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354"/>
      <c r="Y545" s="925"/>
    </row>
    <row r="546" spans="1:25" ht="24" x14ac:dyDescent="0.55000000000000004">
      <c r="A546" s="68"/>
      <c r="B546" s="68"/>
      <c r="C546" s="68"/>
      <c r="D546" s="68"/>
      <c r="E546" s="68"/>
      <c r="F546" s="354"/>
      <c r="G546" s="354"/>
      <c r="H546" s="354"/>
      <c r="I546" s="354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354"/>
      <c r="Y546" s="925"/>
    </row>
    <row r="547" spans="1:25" ht="24" x14ac:dyDescent="0.55000000000000004">
      <c r="A547" s="68"/>
      <c r="B547" s="68"/>
      <c r="C547" s="68"/>
      <c r="D547" s="68"/>
      <c r="E547" s="68"/>
      <c r="F547" s="354"/>
      <c r="G547" s="354"/>
      <c r="H547" s="354"/>
      <c r="I547" s="354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354"/>
      <c r="Y547" s="925"/>
    </row>
    <row r="548" spans="1:25" ht="24" x14ac:dyDescent="0.55000000000000004">
      <c r="A548" s="68"/>
      <c r="B548" s="68"/>
      <c r="C548" s="68"/>
      <c r="D548" s="68"/>
      <c r="E548" s="68"/>
      <c r="F548" s="354"/>
      <c r="G548" s="354"/>
      <c r="H548" s="354"/>
      <c r="I548" s="354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354"/>
      <c r="Y548" s="925"/>
    </row>
    <row r="549" spans="1:25" ht="24" x14ac:dyDescent="0.55000000000000004">
      <c r="A549" s="68"/>
      <c r="B549" s="68"/>
      <c r="C549" s="68"/>
      <c r="D549" s="68"/>
      <c r="E549" s="68"/>
      <c r="F549" s="354"/>
      <c r="G549" s="354"/>
      <c r="H549" s="354"/>
      <c r="I549" s="354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354"/>
      <c r="Y549" s="925"/>
    </row>
    <row r="550" spans="1:25" ht="24" x14ac:dyDescent="0.55000000000000004">
      <c r="A550" s="68"/>
      <c r="B550" s="68"/>
      <c r="C550" s="68"/>
      <c r="D550" s="68"/>
      <c r="E550" s="68"/>
      <c r="F550" s="354"/>
      <c r="G550" s="354"/>
      <c r="H550" s="354"/>
      <c r="I550" s="354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354"/>
      <c r="Y550" s="925"/>
    </row>
    <row r="551" spans="1:25" ht="24" x14ac:dyDescent="0.55000000000000004">
      <c r="A551" s="68"/>
      <c r="B551" s="68"/>
      <c r="C551" s="68"/>
      <c r="D551" s="68"/>
      <c r="E551" s="68"/>
      <c r="F551" s="354"/>
      <c r="G551" s="354"/>
      <c r="H551" s="354"/>
      <c r="I551" s="354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354"/>
      <c r="Y551" s="925"/>
    </row>
    <row r="552" spans="1:25" ht="24" x14ac:dyDescent="0.55000000000000004">
      <c r="A552" s="68"/>
      <c r="B552" s="68"/>
      <c r="C552" s="68"/>
      <c r="D552" s="68"/>
      <c r="E552" s="68"/>
      <c r="F552" s="354"/>
      <c r="G552" s="354"/>
      <c r="H552" s="354"/>
      <c r="I552" s="354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354"/>
      <c r="Y552" s="925"/>
    </row>
    <row r="553" spans="1:25" ht="24" x14ac:dyDescent="0.55000000000000004">
      <c r="A553" s="68"/>
      <c r="B553" s="68"/>
      <c r="C553" s="68"/>
      <c r="D553" s="68"/>
      <c r="E553" s="68"/>
      <c r="F553" s="354"/>
      <c r="G553" s="354"/>
      <c r="H553" s="354"/>
      <c r="I553" s="354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354"/>
      <c r="Y553" s="925"/>
    </row>
    <row r="554" spans="1:25" ht="24" x14ac:dyDescent="0.55000000000000004">
      <c r="A554" s="68"/>
      <c r="B554" s="68"/>
      <c r="C554" s="68"/>
      <c r="D554" s="68"/>
      <c r="E554" s="68"/>
      <c r="F554" s="354"/>
      <c r="G554" s="354"/>
      <c r="H554" s="354"/>
      <c r="I554" s="354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354"/>
      <c r="Y554" s="925"/>
    </row>
    <row r="555" spans="1:25" ht="24" x14ac:dyDescent="0.55000000000000004">
      <c r="A555" s="68"/>
      <c r="B555" s="68"/>
      <c r="C555" s="68"/>
      <c r="D555" s="68"/>
      <c r="E555" s="68"/>
      <c r="F555" s="354"/>
      <c r="G555" s="354"/>
      <c r="H555" s="354"/>
      <c r="I555" s="354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354"/>
      <c r="Y555" s="925"/>
    </row>
    <row r="556" spans="1:25" ht="24" x14ac:dyDescent="0.55000000000000004">
      <c r="A556" s="68"/>
      <c r="B556" s="68"/>
      <c r="C556" s="68"/>
      <c r="D556" s="68"/>
      <c r="E556" s="68"/>
      <c r="F556" s="354"/>
      <c r="G556" s="354"/>
      <c r="H556" s="354"/>
      <c r="I556" s="354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354"/>
      <c r="Y556" s="925"/>
    </row>
    <row r="557" spans="1:25" ht="24" x14ac:dyDescent="0.55000000000000004">
      <c r="A557" s="68"/>
      <c r="B557" s="68"/>
      <c r="C557" s="68"/>
      <c r="D557" s="68"/>
      <c r="E557" s="68"/>
      <c r="F557" s="354"/>
      <c r="G557" s="354"/>
      <c r="H557" s="354"/>
      <c r="I557" s="354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354"/>
      <c r="Y557" s="925"/>
    </row>
    <row r="558" spans="1:25" ht="24" x14ac:dyDescent="0.55000000000000004">
      <c r="A558" s="68"/>
      <c r="B558" s="68"/>
      <c r="C558" s="68"/>
      <c r="D558" s="68"/>
      <c r="E558" s="68"/>
      <c r="F558" s="354"/>
      <c r="G558" s="354"/>
      <c r="H558" s="354"/>
      <c r="I558" s="354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354"/>
      <c r="Y558" s="925"/>
    </row>
    <row r="559" spans="1:25" ht="24" x14ac:dyDescent="0.55000000000000004">
      <c r="A559" s="68"/>
      <c r="B559" s="68"/>
      <c r="C559" s="68"/>
      <c r="D559" s="68"/>
      <c r="E559" s="68"/>
      <c r="F559" s="354"/>
      <c r="G559" s="354"/>
      <c r="H559" s="354"/>
      <c r="I559" s="354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354"/>
      <c r="Y559" s="925"/>
    </row>
    <row r="560" spans="1:25" ht="24" x14ac:dyDescent="0.55000000000000004">
      <c r="A560" s="68"/>
      <c r="B560" s="68"/>
      <c r="C560" s="68"/>
      <c r="D560" s="68"/>
      <c r="E560" s="68"/>
      <c r="F560" s="354"/>
      <c r="G560" s="354"/>
      <c r="H560" s="354"/>
      <c r="I560" s="354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354"/>
      <c r="Y560" s="925"/>
    </row>
    <row r="561" spans="1:25" ht="24" x14ac:dyDescent="0.55000000000000004">
      <c r="A561" s="68"/>
      <c r="B561" s="68"/>
      <c r="C561" s="68"/>
      <c r="D561" s="68"/>
      <c r="E561" s="68"/>
      <c r="F561" s="354"/>
      <c r="G561" s="354"/>
      <c r="H561" s="354"/>
      <c r="I561" s="354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354"/>
      <c r="Y561" s="925"/>
    </row>
    <row r="562" spans="1:25" ht="24" x14ac:dyDescent="0.55000000000000004">
      <c r="A562" s="68"/>
      <c r="B562" s="68"/>
      <c r="C562" s="68"/>
      <c r="D562" s="68"/>
      <c r="E562" s="68"/>
      <c r="F562" s="354"/>
      <c r="G562" s="354"/>
      <c r="H562" s="354"/>
      <c r="I562" s="354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354"/>
      <c r="Y562" s="925"/>
    </row>
    <row r="563" spans="1:25" ht="24" x14ac:dyDescent="0.55000000000000004">
      <c r="A563" s="68"/>
      <c r="B563" s="68"/>
      <c r="C563" s="68"/>
      <c r="D563" s="68"/>
      <c r="E563" s="68"/>
      <c r="F563" s="354"/>
      <c r="G563" s="354"/>
      <c r="H563" s="354"/>
      <c r="I563" s="354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354"/>
      <c r="Y563" s="925"/>
    </row>
    <row r="564" spans="1:25" ht="24" x14ac:dyDescent="0.55000000000000004">
      <c r="A564" s="68"/>
      <c r="B564" s="68"/>
      <c r="C564" s="68"/>
      <c r="D564" s="68"/>
      <c r="E564" s="68"/>
      <c r="F564" s="354"/>
      <c r="G564" s="354"/>
      <c r="H564" s="354"/>
      <c r="I564" s="354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354"/>
      <c r="Y564" s="925"/>
    </row>
    <row r="565" spans="1:25" ht="24" x14ac:dyDescent="0.55000000000000004">
      <c r="A565" s="68"/>
      <c r="B565" s="68"/>
      <c r="C565" s="68"/>
      <c r="D565" s="68"/>
      <c r="E565" s="68"/>
      <c r="F565" s="354"/>
      <c r="G565" s="354"/>
      <c r="H565" s="354"/>
      <c r="I565" s="354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354"/>
      <c r="Y565" s="925"/>
    </row>
    <row r="566" spans="1:25" ht="24" x14ac:dyDescent="0.55000000000000004">
      <c r="A566" s="68"/>
      <c r="B566" s="68"/>
      <c r="C566" s="68"/>
      <c r="D566" s="68"/>
      <c r="E566" s="68"/>
      <c r="F566" s="354"/>
      <c r="G566" s="354"/>
      <c r="H566" s="354"/>
      <c r="I566" s="354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354"/>
      <c r="Y566" s="925"/>
    </row>
    <row r="567" spans="1:25" ht="24" x14ac:dyDescent="0.55000000000000004">
      <c r="A567" s="68"/>
      <c r="B567" s="68"/>
      <c r="C567" s="68"/>
      <c r="D567" s="68"/>
      <c r="E567" s="68"/>
      <c r="F567" s="354"/>
      <c r="G567" s="354"/>
      <c r="H567" s="354"/>
      <c r="I567" s="354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354"/>
      <c r="Y567" s="925"/>
    </row>
    <row r="568" spans="1:25" ht="24" x14ac:dyDescent="0.55000000000000004">
      <c r="A568" s="68"/>
      <c r="B568" s="68"/>
      <c r="C568" s="68"/>
      <c r="D568" s="68"/>
      <c r="E568" s="68"/>
      <c r="F568" s="354"/>
      <c r="G568" s="354"/>
      <c r="H568" s="354"/>
      <c r="I568" s="354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354"/>
      <c r="Y568" s="925"/>
    </row>
    <row r="569" spans="1:25" ht="24" x14ac:dyDescent="0.55000000000000004">
      <c r="A569" s="68"/>
      <c r="B569" s="68"/>
      <c r="C569" s="68"/>
      <c r="D569" s="68"/>
      <c r="E569" s="68"/>
      <c r="F569" s="354"/>
      <c r="G569" s="354"/>
      <c r="H569" s="354"/>
      <c r="I569" s="354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354"/>
      <c r="Y569" s="925"/>
    </row>
    <row r="570" spans="1:25" ht="24" x14ac:dyDescent="0.55000000000000004">
      <c r="A570" s="68"/>
      <c r="B570" s="68"/>
      <c r="C570" s="68"/>
      <c r="D570" s="68"/>
      <c r="E570" s="68"/>
      <c r="F570" s="354"/>
      <c r="G570" s="354"/>
      <c r="H570" s="354"/>
      <c r="I570" s="354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354"/>
      <c r="Y570" s="925"/>
    </row>
    <row r="571" spans="1:25" ht="24" x14ac:dyDescent="0.55000000000000004">
      <c r="A571" s="68"/>
      <c r="B571" s="68"/>
      <c r="C571" s="68"/>
      <c r="D571" s="68"/>
      <c r="E571" s="68"/>
      <c r="F571" s="354"/>
      <c r="G571" s="354"/>
      <c r="H571" s="354"/>
      <c r="I571" s="354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354"/>
      <c r="Y571" s="925"/>
    </row>
    <row r="572" spans="1:25" ht="24" x14ac:dyDescent="0.55000000000000004">
      <c r="A572" s="68"/>
      <c r="B572" s="68"/>
      <c r="C572" s="68"/>
      <c r="D572" s="68"/>
      <c r="E572" s="68"/>
      <c r="F572" s="354"/>
      <c r="G572" s="354"/>
      <c r="H572" s="354"/>
      <c r="I572" s="354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354"/>
      <c r="Y572" s="925"/>
    </row>
    <row r="573" spans="1:25" ht="24" x14ac:dyDescent="0.55000000000000004">
      <c r="A573" s="68"/>
      <c r="B573" s="68"/>
      <c r="C573" s="68"/>
      <c r="D573" s="68"/>
      <c r="E573" s="68"/>
      <c r="F573" s="354"/>
      <c r="G573" s="354"/>
      <c r="H573" s="354"/>
      <c r="I573" s="354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354"/>
      <c r="Y573" s="925"/>
    </row>
    <row r="574" spans="1:25" ht="24" x14ac:dyDescent="0.55000000000000004">
      <c r="A574" s="68"/>
      <c r="B574" s="68"/>
      <c r="C574" s="68"/>
      <c r="D574" s="68"/>
      <c r="E574" s="68"/>
      <c r="F574" s="354"/>
      <c r="G574" s="354"/>
      <c r="H574" s="354"/>
      <c r="I574" s="354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354"/>
      <c r="Y574" s="925"/>
    </row>
    <row r="575" spans="1:25" ht="24" x14ac:dyDescent="0.55000000000000004">
      <c r="A575" s="68"/>
      <c r="B575" s="68"/>
      <c r="C575" s="68"/>
      <c r="D575" s="68"/>
      <c r="E575" s="68"/>
      <c r="F575" s="354"/>
      <c r="G575" s="354"/>
      <c r="H575" s="354"/>
      <c r="I575" s="354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354"/>
      <c r="Y575" s="925"/>
    </row>
    <row r="576" spans="1:25" ht="24" x14ac:dyDescent="0.55000000000000004">
      <c r="A576" s="68"/>
      <c r="B576" s="68"/>
      <c r="C576" s="68"/>
      <c r="D576" s="68"/>
      <c r="E576" s="68"/>
      <c r="F576" s="354"/>
      <c r="G576" s="354"/>
      <c r="H576" s="354"/>
      <c r="I576" s="354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354"/>
      <c r="Y576" s="925"/>
    </row>
    <row r="577" spans="1:25" ht="24" x14ac:dyDescent="0.55000000000000004">
      <c r="A577" s="68"/>
      <c r="B577" s="68"/>
      <c r="C577" s="68"/>
      <c r="D577" s="68"/>
      <c r="E577" s="68"/>
      <c r="F577" s="354"/>
      <c r="G577" s="354"/>
      <c r="H577" s="354"/>
      <c r="I577" s="354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354"/>
      <c r="Y577" s="925"/>
    </row>
    <row r="578" spans="1:25" ht="24" x14ac:dyDescent="0.55000000000000004">
      <c r="A578" s="68"/>
      <c r="B578" s="68"/>
      <c r="C578" s="68"/>
      <c r="D578" s="68"/>
      <c r="E578" s="68"/>
      <c r="F578" s="354"/>
      <c r="G578" s="354"/>
      <c r="H578" s="354"/>
      <c r="I578" s="354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354"/>
      <c r="Y578" s="925"/>
    </row>
    <row r="579" spans="1:25" ht="24" x14ac:dyDescent="0.55000000000000004">
      <c r="A579" s="68"/>
      <c r="B579" s="68"/>
      <c r="C579" s="68"/>
      <c r="D579" s="68"/>
      <c r="E579" s="68"/>
      <c r="F579" s="354"/>
      <c r="G579" s="354"/>
      <c r="H579" s="354"/>
      <c r="I579" s="354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354"/>
      <c r="Y579" s="925"/>
    </row>
    <row r="580" spans="1:25" ht="24" x14ac:dyDescent="0.55000000000000004">
      <c r="A580" s="68"/>
      <c r="B580" s="68"/>
      <c r="C580" s="68"/>
      <c r="D580" s="68"/>
      <c r="E580" s="68"/>
      <c r="F580" s="354"/>
      <c r="G580" s="354"/>
      <c r="H580" s="354"/>
      <c r="I580" s="354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354"/>
      <c r="Y580" s="925"/>
    </row>
    <row r="581" spans="1:25" ht="24" x14ac:dyDescent="0.55000000000000004">
      <c r="A581" s="68"/>
      <c r="B581" s="68"/>
      <c r="C581" s="68"/>
      <c r="D581" s="68"/>
      <c r="E581" s="68"/>
      <c r="F581" s="354"/>
      <c r="G581" s="354"/>
      <c r="H581" s="354"/>
      <c r="I581" s="354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354"/>
      <c r="Y581" s="925"/>
    </row>
    <row r="582" spans="1:25" ht="24" x14ac:dyDescent="0.55000000000000004">
      <c r="A582" s="68"/>
      <c r="B582" s="68"/>
      <c r="C582" s="68"/>
      <c r="D582" s="68"/>
      <c r="E582" s="68"/>
      <c r="F582" s="354"/>
      <c r="G582" s="354"/>
      <c r="H582" s="354"/>
      <c r="I582" s="354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354"/>
      <c r="Y582" s="925"/>
    </row>
    <row r="583" spans="1:25" ht="24" x14ac:dyDescent="0.55000000000000004">
      <c r="A583" s="68"/>
      <c r="B583" s="68"/>
      <c r="C583" s="68"/>
      <c r="D583" s="68"/>
      <c r="E583" s="68"/>
      <c r="F583" s="354"/>
      <c r="G583" s="354"/>
      <c r="H583" s="354"/>
      <c r="I583" s="354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354"/>
      <c r="Y583" s="925"/>
    </row>
    <row r="584" spans="1:25" ht="24" x14ac:dyDescent="0.55000000000000004">
      <c r="A584" s="68"/>
      <c r="B584" s="68"/>
      <c r="C584" s="68"/>
      <c r="D584" s="68"/>
      <c r="E584" s="68"/>
      <c r="F584" s="354"/>
      <c r="G584" s="354"/>
      <c r="H584" s="354"/>
      <c r="I584" s="354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354"/>
      <c r="Y584" s="925"/>
    </row>
    <row r="585" spans="1:25" ht="24" x14ac:dyDescent="0.55000000000000004">
      <c r="A585" s="68"/>
      <c r="B585" s="68"/>
      <c r="C585" s="68"/>
      <c r="D585" s="68"/>
      <c r="E585" s="68"/>
      <c r="F585" s="354"/>
      <c r="G585" s="354"/>
      <c r="H585" s="354"/>
      <c r="I585" s="354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354"/>
      <c r="Y585" s="925"/>
    </row>
    <row r="586" spans="1:25" ht="24" x14ac:dyDescent="0.55000000000000004">
      <c r="A586" s="68"/>
      <c r="B586" s="68"/>
      <c r="C586" s="68"/>
      <c r="D586" s="68"/>
      <c r="E586" s="68"/>
      <c r="F586" s="354"/>
      <c r="G586" s="354"/>
      <c r="H586" s="354"/>
      <c r="I586" s="354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354"/>
      <c r="Y586" s="925"/>
    </row>
    <row r="587" spans="1:25" ht="24" x14ac:dyDescent="0.55000000000000004">
      <c r="A587" s="68"/>
      <c r="B587" s="68"/>
      <c r="C587" s="68"/>
      <c r="D587" s="68"/>
      <c r="E587" s="68"/>
      <c r="F587" s="354"/>
      <c r="G587" s="354"/>
      <c r="H587" s="354"/>
      <c r="I587" s="354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354"/>
      <c r="Y587" s="925"/>
    </row>
    <row r="588" spans="1:25" ht="24" x14ac:dyDescent="0.55000000000000004">
      <c r="A588" s="68"/>
      <c r="B588" s="68"/>
      <c r="C588" s="68"/>
      <c r="D588" s="68"/>
      <c r="E588" s="68"/>
      <c r="F588" s="354"/>
      <c r="G588" s="354"/>
      <c r="H588" s="354"/>
      <c r="I588" s="354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354"/>
      <c r="Y588" s="925"/>
    </row>
    <row r="589" spans="1:25" ht="24" x14ac:dyDescent="0.55000000000000004">
      <c r="A589" s="68"/>
      <c r="B589" s="68"/>
      <c r="C589" s="68"/>
      <c r="D589" s="68"/>
      <c r="E589" s="68"/>
      <c r="F589" s="354"/>
      <c r="G589" s="354"/>
      <c r="H589" s="354"/>
      <c r="I589" s="354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354"/>
      <c r="Y589" s="925"/>
    </row>
    <row r="590" spans="1:25" ht="24" x14ac:dyDescent="0.55000000000000004">
      <c r="A590" s="68"/>
      <c r="B590" s="68"/>
      <c r="C590" s="68"/>
      <c r="D590" s="68"/>
      <c r="E590" s="68"/>
      <c r="F590" s="354"/>
      <c r="G590" s="354"/>
      <c r="H590" s="354"/>
      <c r="I590" s="354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354"/>
      <c r="Y590" s="925"/>
    </row>
    <row r="591" spans="1:25" ht="24" x14ac:dyDescent="0.55000000000000004">
      <c r="A591" s="68"/>
      <c r="B591" s="68"/>
      <c r="C591" s="68"/>
      <c r="D591" s="68"/>
      <c r="E591" s="68"/>
      <c r="F591" s="354"/>
      <c r="G591" s="354"/>
      <c r="H591" s="354"/>
      <c r="I591" s="354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354"/>
      <c r="Y591" s="925"/>
    </row>
    <row r="592" spans="1:25" ht="24" x14ac:dyDescent="0.55000000000000004">
      <c r="A592" s="68"/>
      <c r="B592" s="68"/>
      <c r="C592" s="68"/>
      <c r="D592" s="68"/>
      <c r="E592" s="68"/>
      <c r="F592" s="354"/>
      <c r="G592" s="354"/>
      <c r="H592" s="354"/>
      <c r="I592" s="354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354"/>
      <c r="Y592" s="925"/>
    </row>
    <row r="593" spans="1:25" ht="24" x14ac:dyDescent="0.55000000000000004">
      <c r="A593" s="68"/>
      <c r="B593" s="68"/>
      <c r="C593" s="68"/>
      <c r="D593" s="68"/>
      <c r="E593" s="68"/>
      <c r="F593" s="354"/>
      <c r="G593" s="354"/>
      <c r="H593" s="354"/>
      <c r="I593" s="354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354"/>
      <c r="Y593" s="925"/>
    </row>
    <row r="594" spans="1:25" ht="24" x14ac:dyDescent="0.55000000000000004">
      <c r="A594" s="68"/>
      <c r="B594" s="68"/>
      <c r="C594" s="68"/>
      <c r="D594" s="68"/>
      <c r="E594" s="68"/>
      <c r="F594" s="354"/>
      <c r="G594" s="354"/>
      <c r="H594" s="354"/>
      <c r="I594" s="354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354"/>
      <c r="Y594" s="925"/>
    </row>
    <row r="595" spans="1:25" ht="24" x14ac:dyDescent="0.55000000000000004">
      <c r="A595" s="68"/>
      <c r="B595" s="68"/>
      <c r="C595" s="68"/>
      <c r="D595" s="68"/>
      <c r="E595" s="68"/>
      <c r="F595" s="354"/>
      <c r="G595" s="354"/>
      <c r="H595" s="354"/>
      <c r="I595" s="354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354"/>
      <c r="Y595" s="925"/>
    </row>
    <row r="596" spans="1:25" ht="24" x14ac:dyDescent="0.55000000000000004">
      <c r="A596" s="68"/>
      <c r="B596" s="68"/>
      <c r="C596" s="68"/>
      <c r="D596" s="68"/>
      <c r="E596" s="68"/>
      <c r="F596" s="354"/>
      <c r="G596" s="354"/>
      <c r="H596" s="354"/>
      <c r="I596" s="354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354"/>
      <c r="Y596" s="925"/>
    </row>
    <row r="597" spans="1:25" ht="24" x14ac:dyDescent="0.55000000000000004">
      <c r="A597" s="68"/>
      <c r="B597" s="68"/>
      <c r="C597" s="68"/>
      <c r="D597" s="68"/>
      <c r="E597" s="68"/>
      <c r="F597" s="354"/>
      <c r="G597" s="354"/>
      <c r="H597" s="354"/>
      <c r="I597" s="354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354"/>
      <c r="Y597" s="925"/>
    </row>
    <row r="598" spans="1:25" ht="24" x14ac:dyDescent="0.55000000000000004">
      <c r="A598" s="68"/>
      <c r="B598" s="68"/>
      <c r="C598" s="68"/>
      <c r="D598" s="68"/>
      <c r="E598" s="68"/>
      <c r="F598" s="354"/>
      <c r="G598" s="354"/>
      <c r="H598" s="354"/>
      <c r="I598" s="354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354"/>
      <c r="Y598" s="925"/>
    </row>
    <row r="599" spans="1:25" ht="24" x14ac:dyDescent="0.55000000000000004">
      <c r="A599" s="68"/>
      <c r="B599" s="68"/>
      <c r="C599" s="68"/>
      <c r="D599" s="68"/>
      <c r="E599" s="68"/>
      <c r="F599" s="354"/>
      <c r="G599" s="354"/>
      <c r="H599" s="354"/>
      <c r="I599" s="354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354"/>
      <c r="Y599" s="925"/>
    </row>
    <row r="600" spans="1:25" ht="24" x14ac:dyDescent="0.55000000000000004">
      <c r="A600" s="68"/>
      <c r="B600" s="68"/>
      <c r="C600" s="68"/>
      <c r="D600" s="68"/>
      <c r="E600" s="68"/>
      <c r="F600" s="354"/>
      <c r="G600" s="354"/>
      <c r="H600" s="354"/>
      <c r="I600" s="354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354"/>
      <c r="Y600" s="925"/>
    </row>
    <row r="601" spans="1:25" ht="24" x14ac:dyDescent="0.55000000000000004">
      <c r="A601" s="68"/>
      <c r="B601" s="68"/>
      <c r="C601" s="68"/>
      <c r="D601" s="68"/>
      <c r="E601" s="68"/>
      <c r="F601" s="354"/>
      <c r="G601" s="354"/>
      <c r="H601" s="354"/>
      <c r="I601" s="354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354"/>
      <c r="Y601" s="925"/>
    </row>
    <row r="602" spans="1:25" ht="24" x14ac:dyDescent="0.55000000000000004">
      <c r="A602" s="68"/>
      <c r="B602" s="68"/>
      <c r="C602" s="68"/>
      <c r="D602" s="68"/>
      <c r="E602" s="68"/>
      <c r="F602" s="354"/>
      <c r="G602" s="354"/>
      <c r="H602" s="354"/>
      <c r="I602" s="354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354"/>
      <c r="Y602" s="925"/>
    </row>
    <row r="603" spans="1:25" ht="24" x14ac:dyDescent="0.55000000000000004">
      <c r="A603" s="68"/>
      <c r="B603" s="68"/>
      <c r="C603" s="68"/>
      <c r="D603" s="68"/>
      <c r="E603" s="68"/>
      <c r="F603" s="354"/>
      <c r="G603" s="354"/>
      <c r="H603" s="354"/>
      <c r="I603" s="354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354"/>
      <c r="Y603" s="925"/>
    </row>
    <row r="604" spans="1:25" ht="24" x14ac:dyDescent="0.55000000000000004">
      <c r="A604" s="68"/>
      <c r="B604" s="68"/>
      <c r="C604" s="68"/>
      <c r="D604" s="68"/>
      <c r="E604" s="68"/>
      <c r="F604" s="354"/>
      <c r="G604" s="354"/>
      <c r="H604" s="354"/>
      <c r="I604" s="354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354"/>
      <c r="Y604" s="925"/>
    </row>
    <row r="605" spans="1:25" ht="24" x14ac:dyDescent="0.55000000000000004">
      <c r="A605" s="68"/>
      <c r="B605" s="68"/>
      <c r="C605" s="68"/>
      <c r="D605" s="68"/>
      <c r="E605" s="68"/>
      <c r="F605" s="354"/>
      <c r="G605" s="354"/>
      <c r="H605" s="354"/>
      <c r="I605" s="354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354"/>
      <c r="Y605" s="925"/>
    </row>
    <row r="606" spans="1:25" ht="24" x14ac:dyDescent="0.55000000000000004">
      <c r="A606" s="68"/>
      <c r="B606" s="68"/>
      <c r="C606" s="68"/>
      <c r="D606" s="68"/>
      <c r="E606" s="68"/>
      <c r="F606" s="354"/>
      <c r="G606" s="354"/>
      <c r="H606" s="354"/>
      <c r="I606" s="354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354"/>
      <c r="Y606" s="925"/>
    </row>
    <row r="607" spans="1:25" ht="24" x14ac:dyDescent="0.55000000000000004">
      <c r="A607" s="68"/>
      <c r="B607" s="68"/>
      <c r="C607" s="68"/>
      <c r="D607" s="68"/>
      <c r="E607" s="68"/>
      <c r="F607" s="354"/>
      <c r="G607" s="354"/>
      <c r="H607" s="354"/>
      <c r="I607" s="354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354"/>
      <c r="Y607" s="925"/>
    </row>
    <row r="608" spans="1:25" ht="24" x14ac:dyDescent="0.55000000000000004">
      <c r="A608" s="68"/>
      <c r="B608" s="68"/>
      <c r="C608" s="68"/>
      <c r="D608" s="68"/>
      <c r="E608" s="68"/>
      <c r="F608" s="354"/>
      <c r="G608" s="354"/>
      <c r="H608" s="354"/>
      <c r="I608" s="354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354"/>
      <c r="Y608" s="925"/>
    </row>
    <row r="609" spans="1:25" ht="24" x14ac:dyDescent="0.55000000000000004">
      <c r="A609" s="68"/>
      <c r="B609" s="68"/>
      <c r="C609" s="68"/>
      <c r="D609" s="68"/>
      <c r="E609" s="68"/>
      <c r="F609" s="354"/>
      <c r="G609" s="354"/>
      <c r="H609" s="354"/>
      <c r="I609" s="354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354"/>
      <c r="Y609" s="925"/>
    </row>
    <row r="610" spans="1:25" ht="24" x14ac:dyDescent="0.55000000000000004">
      <c r="A610" s="68"/>
      <c r="B610" s="68"/>
      <c r="C610" s="68"/>
      <c r="D610" s="68"/>
      <c r="E610" s="68"/>
      <c r="F610" s="354"/>
      <c r="G610" s="354"/>
      <c r="H610" s="354"/>
      <c r="I610" s="354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354"/>
      <c r="Y610" s="925"/>
    </row>
    <row r="611" spans="1:25" ht="24" x14ac:dyDescent="0.55000000000000004">
      <c r="A611" s="68"/>
      <c r="B611" s="68"/>
      <c r="C611" s="68"/>
      <c r="D611" s="68"/>
      <c r="E611" s="68"/>
      <c r="F611" s="354"/>
      <c r="G611" s="354"/>
      <c r="H611" s="354"/>
      <c r="I611" s="354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354"/>
      <c r="Y611" s="925"/>
    </row>
    <row r="612" spans="1:25" ht="24" x14ac:dyDescent="0.55000000000000004">
      <c r="A612" s="68"/>
      <c r="B612" s="68"/>
      <c r="C612" s="68"/>
      <c r="D612" s="68"/>
      <c r="E612" s="68"/>
      <c r="F612" s="354"/>
      <c r="G612" s="354"/>
      <c r="H612" s="354"/>
      <c r="I612" s="354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354"/>
      <c r="Y612" s="925"/>
    </row>
    <row r="613" spans="1:25" ht="24" x14ac:dyDescent="0.55000000000000004">
      <c r="A613" s="68"/>
      <c r="B613" s="68"/>
      <c r="C613" s="68"/>
      <c r="D613" s="68"/>
      <c r="E613" s="68"/>
      <c r="F613" s="354"/>
      <c r="G613" s="354"/>
      <c r="H613" s="354"/>
      <c r="I613" s="354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354"/>
      <c r="Y613" s="925"/>
    </row>
    <row r="614" spans="1:25" ht="24" x14ac:dyDescent="0.55000000000000004">
      <c r="A614" s="68"/>
      <c r="B614" s="68"/>
      <c r="C614" s="68"/>
      <c r="D614" s="68"/>
      <c r="E614" s="68"/>
      <c r="F614" s="354"/>
      <c r="G614" s="354"/>
      <c r="H614" s="354"/>
      <c r="I614" s="354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354"/>
      <c r="Y614" s="925"/>
    </row>
    <row r="615" spans="1:25" ht="24" x14ac:dyDescent="0.55000000000000004">
      <c r="A615" s="68"/>
      <c r="B615" s="68"/>
      <c r="C615" s="68"/>
      <c r="D615" s="68"/>
      <c r="E615" s="68"/>
      <c r="F615" s="354"/>
      <c r="G615" s="354"/>
      <c r="H615" s="354"/>
      <c r="I615" s="354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354"/>
      <c r="Y615" s="925"/>
    </row>
    <row r="616" spans="1:25" ht="24" x14ac:dyDescent="0.55000000000000004">
      <c r="A616" s="68"/>
      <c r="B616" s="68"/>
      <c r="C616" s="68"/>
      <c r="D616" s="68"/>
      <c r="E616" s="68"/>
      <c r="F616" s="354"/>
      <c r="G616" s="354"/>
      <c r="H616" s="354"/>
      <c r="I616" s="354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354"/>
      <c r="Y616" s="925"/>
    </row>
    <row r="617" spans="1:25" ht="24" x14ac:dyDescent="0.55000000000000004">
      <c r="A617" s="68"/>
      <c r="B617" s="68"/>
      <c r="C617" s="68"/>
      <c r="D617" s="68"/>
      <c r="E617" s="68"/>
      <c r="F617" s="354"/>
      <c r="G617" s="354"/>
      <c r="H617" s="354"/>
      <c r="I617" s="354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354"/>
      <c r="Y617" s="925"/>
    </row>
    <row r="618" spans="1:25" ht="24" x14ac:dyDescent="0.55000000000000004">
      <c r="A618" s="68"/>
      <c r="B618" s="68"/>
      <c r="C618" s="68"/>
      <c r="D618" s="68"/>
      <c r="E618" s="68"/>
      <c r="F618" s="354"/>
      <c r="G618" s="354"/>
      <c r="H618" s="354"/>
      <c r="I618" s="354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354"/>
      <c r="Y618" s="925"/>
    </row>
    <row r="619" spans="1:25" ht="24" x14ac:dyDescent="0.55000000000000004">
      <c r="A619" s="68"/>
      <c r="B619" s="68"/>
      <c r="C619" s="68"/>
      <c r="D619" s="68"/>
      <c r="E619" s="68"/>
      <c r="F619" s="354"/>
      <c r="G619" s="354"/>
      <c r="H619" s="354"/>
      <c r="I619" s="354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354"/>
      <c r="Y619" s="925"/>
    </row>
    <row r="620" spans="1:25" ht="24" x14ac:dyDescent="0.55000000000000004">
      <c r="A620" s="68"/>
      <c r="B620" s="68"/>
      <c r="C620" s="68"/>
      <c r="D620" s="68"/>
      <c r="E620" s="68"/>
      <c r="F620" s="354"/>
      <c r="G620" s="354"/>
      <c r="H620" s="354"/>
      <c r="I620" s="354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354"/>
      <c r="Y620" s="925"/>
    </row>
    <row r="621" spans="1:25" ht="24" x14ac:dyDescent="0.55000000000000004">
      <c r="A621" s="68"/>
      <c r="B621" s="68"/>
      <c r="C621" s="68"/>
      <c r="D621" s="68"/>
      <c r="E621" s="68"/>
      <c r="F621" s="354"/>
      <c r="G621" s="354"/>
      <c r="H621" s="354"/>
      <c r="I621" s="354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354"/>
      <c r="Y621" s="925"/>
    </row>
    <row r="622" spans="1:25" ht="24" x14ac:dyDescent="0.55000000000000004">
      <c r="A622" s="68"/>
      <c r="B622" s="68"/>
      <c r="C622" s="68"/>
      <c r="D622" s="68"/>
      <c r="E622" s="68"/>
      <c r="F622" s="354"/>
      <c r="G622" s="354"/>
      <c r="H622" s="354"/>
      <c r="I622" s="354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354"/>
      <c r="Y622" s="925"/>
    </row>
    <row r="623" spans="1:25" ht="24" x14ac:dyDescent="0.55000000000000004">
      <c r="A623" s="68"/>
      <c r="B623" s="68"/>
      <c r="C623" s="68"/>
      <c r="D623" s="68"/>
      <c r="E623" s="68"/>
      <c r="F623" s="354"/>
      <c r="G623" s="354"/>
      <c r="H623" s="354"/>
      <c r="I623" s="354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354"/>
      <c r="Y623" s="925"/>
    </row>
    <row r="624" spans="1:25" ht="24" x14ac:dyDescent="0.55000000000000004">
      <c r="A624" s="68"/>
      <c r="B624" s="68"/>
      <c r="C624" s="68"/>
      <c r="D624" s="68"/>
      <c r="E624" s="68"/>
      <c r="F624" s="354"/>
      <c r="G624" s="354"/>
      <c r="H624" s="354"/>
      <c r="I624" s="354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354"/>
      <c r="Y624" s="925"/>
    </row>
    <row r="625" spans="1:25" ht="24" x14ac:dyDescent="0.55000000000000004">
      <c r="A625" s="68"/>
      <c r="B625" s="68"/>
      <c r="C625" s="68"/>
      <c r="D625" s="68"/>
      <c r="E625" s="68"/>
      <c r="F625" s="354"/>
      <c r="G625" s="354"/>
      <c r="H625" s="354"/>
      <c r="I625" s="354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354"/>
      <c r="Y625" s="925"/>
    </row>
    <row r="626" spans="1:25" ht="24" x14ac:dyDescent="0.55000000000000004">
      <c r="A626" s="68"/>
      <c r="B626" s="68"/>
      <c r="C626" s="68"/>
      <c r="D626" s="68"/>
      <c r="E626" s="68"/>
      <c r="F626" s="354"/>
      <c r="G626" s="354"/>
      <c r="H626" s="354"/>
      <c r="I626" s="354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354"/>
      <c r="Y626" s="925"/>
    </row>
    <row r="627" spans="1:25" ht="24" x14ac:dyDescent="0.55000000000000004">
      <c r="A627" s="68"/>
      <c r="B627" s="68"/>
      <c r="C627" s="68"/>
      <c r="D627" s="68"/>
      <c r="E627" s="68"/>
      <c r="F627" s="354"/>
      <c r="G627" s="354"/>
      <c r="H627" s="354"/>
      <c r="I627" s="354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354"/>
      <c r="Y627" s="925"/>
    </row>
    <row r="628" spans="1:25" ht="24" x14ac:dyDescent="0.55000000000000004">
      <c r="A628" s="68"/>
      <c r="B628" s="68"/>
      <c r="C628" s="68"/>
      <c r="D628" s="68"/>
      <c r="E628" s="68"/>
      <c r="F628" s="354"/>
      <c r="G628" s="354"/>
      <c r="H628" s="354"/>
      <c r="I628" s="354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354"/>
      <c r="Y628" s="925"/>
    </row>
    <row r="629" spans="1:25" ht="24" x14ac:dyDescent="0.55000000000000004">
      <c r="A629" s="68"/>
      <c r="B629" s="68"/>
      <c r="C629" s="68"/>
      <c r="D629" s="68"/>
      <c r="E629" s="68"/>
      <c r="F629" s="354"/>
      <c r="G629" s="354"/>
      <c r="H629" s="354"/>
      <c r="I629" s="354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354"/>
      <c r="Y629" s="925"/>
    </row>
    <row r="630" spans="1:25" ht="24" x14ac:dyDescent="0.55000000000000004">
      <c r="A630" s="68"/>
      <c r="B630" s="68"/>
      <c r="C630" s="68"/>
      <c r="D630" s="68"/>
      <c r="E630" s="68"/>
      <c r="F630" s="354"/>
      <c r="G630" s="354"/>
      <c r="H630" s="354"/>
      <c r="I630" s="354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354"/>
      <c r="Y630" s="925"/>
    </row>
    <row r="631" spans="1:25" ht="24" x14ac:dyDescent="0.55000000000000004">
      <c r="A631" s="68"/>
      <c r="B631" s="68"/>
      <c r="C631" s="68"/>
      <c r="D631" s="68"/>
      <c r="E631" s="68"/>
      <c r="F631" s="354"/>
      <c r="G631" s="354"/>
      <c r="H631" s="354"/>
      <c r="I631" s="354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354"/>
      <c r="Y631" s="925"/>
    </row>
    <row r="632" spans="1:25" ht="24" x14ac:dyDescent="0.55000000000000004">
      <c r="A632" s="68"/>
      <c r="B632" s="68"/>
      <c r="C632" s="68"/>
      <c r="D632" s="68"/>
      <c r="E632" s="68"/>
      <c r="F632" s="354"/>
      <c r="G632" s="354"/>
      <c r="H632" s="354"/>
      <c r="I632" s="354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354"/>
      <c r="Y632" s="925"/>
    </row>
    <row r="633" spans="1:25" ht="24" x14ac:dyDescent="0.55000000000000004">
      <c r="A633" s="68"/>
      <c r="B633" s="68"/>
      <c r="C633" s="68"/>
      <c r="D633" s="68"/>
      <c r="E633" s="68"/>
      <c r="F633" s="354"/>
      <c r="G633" s="354"/>
      <c r="H633" s="354"/>
      <c r="I633" s="354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354"/>
      <c r="Y633" s="925"/>
    </row>
    <row r="634" spans="1:25" ht="24" x14ac:dyDescent="0.55000000000000004">
      <c r="A634" s="68"/>
      <c r="B634" s="68"/>
      <c r="C634" s="68"/>
      <c r="D634" s="68"/>
      <c r="E634" s="68"/>
      <c r="F634" s="354"/>
      <c r="G634" s="354"/>
      <c r="H634" s="354"/>
      <c r="I634" s="354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354"/>
      <c r="Y634" s="925"/>
    </row>
    <row r="635" spans="1:25" ht="24" x14ac:dyDescent="0.55000000000000004">
      <c r="A635" s="68"/>
      <c r="B635" s="68"/>
      <c r="C635" s="68"/>
      <c r="D635" s="68"/>
      <c r="E635" s="68"/>
      <c r="F635" s="354"/>
      <c r="G635" s="354"/>
      <c r="H635" s="354"/>
      <c r="I635" s="354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354"/>
      <c r="Y635" s="925"/>
    </row>
    <row r="636" spans="1:25" ht="24" x14ac:dyDescent="0.55000000000000004">
      <c r="A636" s="68"/>
      <c r="B636" s="68"/>
      <c r="C636" s="68"/>
      <c r="D636" s="68"/>
      <c r="E636" s="68"/>
      <c r="F636" s="354"/>
      <c r="G636" s="354"/>
      <c r="H636" s="354"/>
      <c r="I636" s="354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354"/>
      <c r="Y636" s="925"/>
    </row>
    <row r="637" spans="1:25" ht="24" x14ac:dyDescent="0.55000000000000004">
      <c r="A637" s="68"/>
      <c r="B637" s="68"/>
      <c r="C637" s="68"/>
      <c r="D637" s="68"/>
      <c r="E637" s="68"/>
      <c r="F637" s="354"/>
      <c r="G637" s="354"/>
      <c r="H637" s="354"/>
      <c r="I637" s="354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354"/>
      <c r="Y637" s="925"/>
    </row>
    <row r="638" spans="1:25" ht="24" x14ac:dyDescent="0.55000000000000004">
      <c r="A638" s="68"/>
      <c r="B638" s="68"/>
      <c r="C638" s="68"/>
      <c r="D638" s="68"/>
      <c r="E638" s="68"/>
      <c r="F638" s="354"/>
      <c r="G638" s="354"/>
      <c r="H638" s="354"/>
      <c r="I638" s="354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354"/>
      <c r="Y638" s="925"/>
    </row>
    <row r="639" spans="1:25" ht="24" x14ac:dyDescent="0.55000000000000004">
      <c r="A639" s="68"/>
      <c r="B639" s="68"/>
      <c r="C639" s="68"/>
      <c r="D639" s="68"/>
      <c r="E639" s="68"/>
      <c r="F639" s="354"/>
      <c r="G639" s="354"/>
      <c r="H639" s="354"/>
      <c r="I639" s="354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354"/>
      <c r="Y639" s="925"/>
    </row>
    <row r="640" spans="1:25" ht="24" x14ac:dyDescent="0.55000000000000004">
      <c r="A640" s="68"/>
      <c r="B640" s="68"/>
      <c r="C640" s="68"/>
      <c r="D640" s="68"/>
      <c r="E640" s="68"/>
      <c r="F640" s="354"/>
      <c r="G640" s="354"/>
      <c r="H640" s="354"/>
      <c r="I640" s="354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354"/>
      <c r="Y640" s="925"/>
    </row>
    <row r="641" spans="1:25" ht="24" x14ac:dyDescent="0.55000000000000004">
      <c r="A641" s="68"/>
      <c r="B641" s="68"/>
      <c r="C641" s="68"/>
      <c r="D641" s="68"/>
      <c r="E641" s="68"/>
      <c r="F641" s="354"/>
      <c r="G641" s="354"/>
      <c r="H641" s="354"/>
      <c r="I641" s="354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354"/>
      <c r="Y641" s="925"/>
    </row>
    <row r="642" spans="1:25" ht="24" x14ac:dyDescent="0.55000000000000004">
      <c r="A642" s="68"/>
      <c r="B642" s="68"/>
      <c r="C642" s="68"/>
      <c r="D642" s="68"/>
      <c r="E642" s="68"/>
      <c r="F642" s="354"/>
      <c r="G642" s="354"/>
      <c r="H642" s="354"/>
      <c r="I642" s="354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354"/>
      <c r="Y642" s="925"/>
    </row>
    <row r="643" spans="1:25" ht="24" x14ac:dyDescent="0.55000000000000004">
      <c r="A643" s="68"/>
      <c r="B643" s="68"/>
      <c r="C643" s="68"/>
      <c r="D643" s="68"/>
      <c r="E643" s="68"/>
      <c r="F643" s="354"/>
      <c r="G643" s="354"/>
      <c r="H643" s="354"/>
      <c r="I643" s="354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354"/>
      <c r="Y643" s="925"/>
    </row>
    <row r="644" spans="1:25" ht="24" x14ac:dyDescent="0.55000000000000004">
      <c r="A644" s="68"/>
      <c r="B644" s="68"/>
      <c r="C644" s="68"/>
      <c r="D644" s="68"/>
      <c r="E644" s="68"/>
      <c r="F644" s="354"/>
      <c r="G644" s="354"/>
      <c r="H644" s="354"/>
      <c r="I644" s="354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354"/>
      <c r="Y644" s="925"/>
    </row>
    <row r="645" spans="1:25" ht="24" x14ac:dyDescent="0.55000000000000004">
      <c r="A645" s="68"/>
      <c r="B645" s="68"/>
      <c r="C645" s="68"/>
      <c r="D645" s="68"/>
      <c r="E645" s="68"/>
      <c r="F645" s="354"/>
      <c r="G645" s="354"/>
      <c r="H645" s="354"/>
      <c r="I645" s="354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354"/>
      <c r="Y645" s="925"/>
    </row>
    <row r="646" spans="1:25" ht="24" x14ac:dyDescent="0.55000000000000004">
      <c r="A646" s="68"/>
      <c r="B646" s="68"/>
      <c r="C646" s="68"/>
      <c r="D646" s="68"/>
      <c r="E646" s="68"/>
      <c r="F646" s="354"/>
      <c r="G646" s="354"/>
      <c r="H646" s="354"/>
      <c r="I646" s="354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354"/>
      <c r="Y646" s="925"/>
    </row>
    <row r="647" spans="1:25" ht="24" x14ac:dyDescent="0.55000000000000004">
      <c r="A647" s="68"/>
      <c r="B647" s="68"/>
      <c r="C647" s="68"/>
      <c r="D647" s="68"/>
      <c r="E647" s="68"/>
      <c r="F647" s="354"/>
      <c r="G647" s="354"/>
      <c r="H647" s="354"/>
      <c r="I647" s="354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354"/>
      <c r="Y647" s="925"/>
    </row>
    <row r="648" spans="1:25" ht="24" x14ac:dyDescent="0.55000000000000004">
      <c r="A648" s="68"/>
      <c r="B648" s="68"/>
      <c r="C648" s="68"/>
      <c r="D648" s="68"/>
      <c r="E648" s="68"/>
      <c r="F648" s="354"/>
      <c r="G648" s="354"/>
      <c r="H648" s="354"/>
      <c r="I648" s="354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354"/>
      <c r="Y648" s="925"/>
    </row>
    <row r="649" spans="1:25" ht="24" x14ac:dyDescent="0.55000000000000004">
      <c r="A649" s="68"/>
      <c r="B649" s="68"/>
      <c r="C649" s="68"/>
      <c r="D649" s="68"/>
      <c r="E649" s="68"/>
      <c r="F649" s="354"/>
      <c r="G649" s="354"/>
      <c r="H649" s="354"/>
      <c r="I649" s="354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354"/>
      <c r="Y649" s="925"/>
    </row>
    <row r="650" spans="1:25" ht="24" x14ac:dyDescent="0.55000000000000004">
      <c r="A650" s="68"/>
      <c r="B650" s="68"/>
      <c r="C650" s="68"/>
      <c r="D650" s="68"/>
      <c r="E650" s="68"/>
      <c r="F650" s="354"/>
      <c r="G650" s="354"/>
      <c r="H650" s="354"/>
      <c r="I650" s="354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354"/>
      <c r="Y650" s="925"/>
    </row>
    <row r="651" spans="1:25" ht="24" x14ac:dyDescent="0.55000000000000004">
      <c r="A651" s="68"/>
      <c r="B651" s="68"/>
      <c r="C651" s="68"/>
      <c r="D651" s="68"/>
      <c r="E651" s="68"/>
      <c r="F651" s="354"/>
      <c r="G651" s="354"/>
      <c r="H651" s="354"/>
      <c r="I651" s="354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354"/>
      <c r="Y651" s="925"/>
    </row>
    <row r="652" spans="1:25" ht="24" x14ac:dyDescent="0.55000000000000004">
      <c r="A652" s="68"/>
      <c r="B652" s="68"/>
      <c r="C652" s="68"/>
      <c r="D652" s="68"/>
      <c r="E652" s="68"/>
      <c r="F652" s="354"/>
      <c r="G652" s="354"/>
      <c r="H652" s="354"/>
      <c r="I652" s="354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354"/>
      <c r="Y652" s="925"/>
    </row>
    <row r="653" spans="1:25" ht="24" x14ac:dyDescent="0.55000000000000004">
      <c r="A653" s="68"/>
      <c r="B653" s="68"/>
      <c r="C653" s="68"/>
      <c r="D653" s="68"/>
      <c r="E653" s="68"/>
      <c r="F653" s="354"/>
      <c r="G653" s="354"/>
      <c r="H653" s="354"/>
      <c r="I653" s="354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354"/>
      <c r="Y653" s="925"/>
    </row>
    <row r="654" spans="1:25" ht="24" x14ac:dyDescent="0.55000000000000004">
      <c r="A654" s="68"/>
      <c r="B654" s="68"/>
      <c r="C654" s="68"/>
      <c r="D654" s="68"/>
      <c r="E654" s="68"/>
      <c r="F654" s="354"/>
      <c r="G654" s="354"/>
      <c r="H654" s="354"/>
      <c r="I654" s="354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354"/>
      <c r="Y654" s="925"/>
    </row>
    <row r="655" spans="1:25" ht="24" x14ac:dyDescent="0.55000000000000004">
      <c r="A655" s="68"/>
      <c r="B655" s="68"/>
      <c r="C655" s="68"/>
      <c r="D655" s="68"/>
      <c r="E655" s="68"/>
      <c r="F655" s="354"/>
      <c r="G655" s="354"/>
      <c r="H655" s="354"/>
      <c r="I655" s="354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354"/>
      <c r="Y655" s="925"/>
    </row>
    <row r="656" spans="1:25" ht="24" x14ac:dyDescent="0.55000000000000004">
      <c r="A656" s="68"/>
      <c r="B656" s="68"/>
      <c r="C656" s="68"/>
      <c r="D656" s="68"/>
      <c r="E656" s="68"/>
      <c r="F656" s="354"/>
      <c r="G656" s="354"/>
      <c r="H656" s="354"/>
      <c r="I656" s="354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354"/>
      <c r="Y656" s="925"/>
    </row>
    <row r="657" spans="1:25" ht="24" x14ac:dyDescent="0.55000000000000004">
      <c r="A657" s="68"/>
      <c r="B657" s="68"/>
      <c r="C657" s="68"/>
      <c r="D657" s="68"/>
      <c r="E657" s="68"/>
      <c r="F657" s="354"/>
      <c r="G657" s="354"/>
      <c r="H657" s="354"/>
      <c r="I657" s="354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354"/>
      <c r="Y657" s="925"/>
    </row>
    <row r="658" spans="1:25" ht="24" x14ac:dyDescent="0.55000000000000004">
      <c r="A658" s="68"/>
      <c r="B658" s="68"/>
      <c r="C658" s="68"/>
      <c r="D658" s="68"/>
      <c r="E658" s="68"/>
      <c r="F658" s="354"/>
      <c r="G658" s="354"/>
      <c r="H658" s="354"/>
      <c r="I658" s="354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354"/>
      <c r="Y658" s="925"/>
    </row>
    <row r="659" spans="1:25" ht="24" x14ac:dyDescent="0.55000000000000004">
      <c r="A659" s="68"/>
      <c r="B659" s="68"/>
      <c r="C659" s="68"/>
      <c r="D659" s="68"/>
      <c r="E659" s="68"/>
      <c r="F659" s="354"/>
      <c r="G659" s="354"/>
      <c r="H659" s="354"/>
      <c r="I659" s="354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354"/>
      <c r="Y659" s="925"/>
    </row>
    <row r="660" spans="1:25" ht="24" x14ac:dyDescent="0.55000000000000004">
      <c r="A660" s="68"/>
      <c r="B660" s="68"/>
      <c r="C660" s="68"/>
      <c r="D660" s="68"/>
      <c r="E660" s="68"/>
      <c r="F660" s="354"/>
      <c r="G660" s="354"/>
      <c r="H660" s="354"/>
      <c r="I660" s="354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354"/>
      <c r="Y660" s="925"/>
    </row>
    <row r="661" spans="1:25" ht="24" x14ac:dyDescent="0.55000000000000004">
      <c r="A661" s="68"/>
      <c r="B661" s="68"/>
      <c r="C661" s="68"/>
      <c r="D661" s="68"/>
      <c r="E661" s="68"/>
      <c r="F661" s="354"/>
      <c r="G661" s="354"/>
      <c r="H661" s="354"/>
      <c r="I661" s="354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354"/>
      <c r="Y661" s="925"/>
    </row>
    <row r="662" spans="1:25" ht="24" x14ac:dyDescent="0.55000000000000004">
      <c r="A662" s="68"/>
      <c r="B662" s="68"/>
      <c r="C662" s="68"/>
      <c r="D662" s="68"/>
      <c r="E662" s="68"/>
      <c r="F662" s="354"/>
      <c r="G662" s="354"/>
      <c r="H662" s="354"/>
      <c r="I662" s="354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354"/>
      <c r="Y662" s="925"/>
    </row>
    <row r="663" spans="1:25" ht="24" x14ac:dyDescent="0.55000000000000004">
      <c r="A663" s="68"/>
      <c r="B663" s="68"/>
      <c r="C663" s="68"/>
      <c r="D663" s="68"/>
      <c r="E663" s="68"/>
      <c r="F663" s="354"/>
      <c r="G663" s="354"/>
      <c r="H663" s="354"/>
      <c r="I663" s="354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354"/>
      <c r="Y663" s="925"/>
    </row>
    <row r="664" spans="1:25" ht="24" x14ac:dyDescent="0.55000000000000004">
      <c r="A664" s="68"/>
      <c r="B664" s="68"/>
      <c r="C664" s="68"/>
      <c r="D664" s="68"/>
      <c r="E664" s="68"/>
      <c r="F664" s="354"/>
      <c r="G664" s="354"/>
      <c r="H664" s="354"/>
      <c r="I664" s="354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354"/>
      <c r="Y664" s="925"/>
    </row>
    <row r="665" spans="1:25" ht="24" x14ac:dyDescent="0.55000000000000004">
      <c r="A665" s="68"/>
      <c r="B665" s="68"/>
      <c r="C665" s="68"/>
      <c r="D665" s="68"/>
      <c r="E665" s="68"/>
      <c r="F665" s="354"/>
      <c r="G665" s="354"/>
      <c r="H665" s="354"/>
      <c r="I665" s="354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354"/>
      <c r="Y665" s="925"/>
    </row>
    <row r="666" spans="1:25" ht="24" x14ac:dyDescent="0.55000000000000004">
      <c r="A666" s="68"/>
      <c r="B666" s="68"/>
      <c r="C666" s="68"/>
      <c r="D666" s="68"/>
      <c r="E666" s="68"/>
      <c r="F666" s="354"/>
      <c r="G666" s="354"/>
      <c r="H666" s="354"/>
      <c r="I666" s="354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354"/>
      <c r="Y666" s="925"/>
    </row>
    <row r="667" spans="1:25" ht="24" x14ac:dyDescent="0.55000000000000004">
      <c r="A667" s="68"/>
      <c r="B667" s="68"/>
      <c r="C667" s="68"/>
      <c r="D667" s="68"/>
      <c r="E667" s="68"/>
      <c r="F667" s="354"/>
      <c r="G667" s="354"/>
      <c r="H667" s="354"/>
      <c r="I667" s="354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354"/>
      <c r="Y667" s="925"/>
    </row>
    <row r="668" spans="1:25" ht="24" x14ac:dyDescent="0.55000000000000004">
      <c r="A668" s="68"/>
      <c r="B668" s="68"/>
      <c r="C668" s="68"/>
      <c r="D668" s="68"/>
      <c r="E668" s="68"/>
      <c r="F668" s="354"/>
      <c r="G668" s="354"/>
      <c r="H668" s="354"/>
      <c r="I668" s="354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354"/>
      <c r="Y668" s="925"/>
    </row>
    <row r="669" spans="1:25" ht="24" x14ac:dyDescent="0.55000000000000004">
      <c r="A669" s="68"/>
      <c r="B669" s="68"/>
      <c r="C669" s="68"/>
      <c r="D669" s="68"/>
      <c r="E669" s="68"/>
      <c r="F669" s="354"/>
      <c r="G669" s="354"/>
      <c r="H669" s="354"/>
      <c r="I669" s="354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354"/>
      <c r="Y669" s="925"/>
    </row>
    <row r="670" spans="1:25" ht="24" x14ac:dyDescent="0.55000000000000004">
      <c r="A670" s="68"/>
      <c r="B670" s="68"/>
      <c r="C670" s="68"/>
      <c r="D670" s="68"/>
      <c r="E670" s="68"/>
      <c r="F670" s="354"/>
      <c r="G670" s="354"/>
      <c r="H670" s="354"/>
      <c r="I670" s="354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354"/>
      <c r="Y670" s="925"/>
    </row>
    <row r="671" spans="1:25" ht="24" x14ac:dyDescent="0.55000000000000004">
      <c r="A671" s="68"/>
      <c r="B671" s="68"/>
      <c r="C671" s="68"/>
      <c r="D671" s="68"/>
      <c r="E671" s="68"/>
      <c r="F671" s="354"/>
      <c r="G671" s="354"/>
      <c r="H671" s="354"/>
      <c r="I671" s="354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354"/>
      <c r="Y671" s="925"/>
    </row>
    <row r="672" spans="1:25" ht="24" x14ac:dyDescent="0.55000000000000004">
      <c r="A672" s="68"/>
      <c r="B672" s="68"/>
      <c r="C672" s="68"/>
      <c r="D672" s="68"/>
      <c r="E672" s="68"/>
      <c r="F672" s="354"/>
      <c r="G672" s="354"/>
      <c r="H672" s="354"/>
      <c r="I672" s="354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354"/>
      <c r="Y672" s="925"/>
    </row>
    <row r="673" spans="1:25" ht="24" x14ac:dyDescent="0.55000000000000004">
      <c r="A673" s="68"/>
      <c r="B673" s="68"/>
      <c r="C673" s="68"/>
      <c r="D673" s="68"/>
      <c r="E673" s="68"/>
      <c r="F673" s="354"/>
      <c r="G673" s="354"/>
      <c r="H673" s="354"/>
      <c r="I673" s="354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354"/>
      <c r="Y673" s="925"/>
    </row>
    <row r="674" spans="1:25" ht="24" x14ac:dyDescent="0.55000000000000004">
      <c r="A674" s="68"/>
      <c r="B674" s="68"/>
      <c r="C674" s="68"/>
      <c r="D674" s="68"/>
      <c r="E674" s="68"/>
      <c r="F674" s="354"/>
      <c r="G674" s="354"/>
      <c r="H674" s="354"/>
      <c r="I674" s="354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354"/>
      <c r="Y674" s="925"/>
    </row>
    <row r="675" spans="1:25" ht="24" x14ac:dyDescent="0.55000000000000004">
      <c r="A675" s="68"/>
      <c r="B675" s="68"/>
      <c r="C675" s="68"/>
      <c r="D675" s="68"/>
      <c r="E675" s="68"/>
      <c r="F675" s="354"/>
      <c r="G675" s="354"/>
      <c r="H675" s="354"/>
      <c r="I675" s="354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354"/>
      <c r="Y675" s="925"/>
    </row>
    <row r="676" spans="1:25" ht="24" x14ac:dyDescent="0.55000000000000004">
      <c r="A676" s="68"/>
      <c r="B676" s="68"/>
      <c r="C676" s="68"/>
      <c r="D676" s="68"/>
      <c r="E676" s="68"/>
      <c r="F676" s="354"/>
      <c r="G676" s="354"/>
      <c r="H676" s="354"/>
      <c r="I676" s="354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354"/>
      <c r="Y676" s="925"/>
    </row>
    <row r="677" spans="1:25" ht="24" x14ac:dyDescent="0.55000000000000004">
      <c r="A677" s="68"/>
      <c r="B677" s="68"/>
      <c r="C677" s="68"/>
      <c r="D677" s="68"/>
      <c r="E677" s="68"/>
      <c r="F677" s="354"/>
      <c r="G677" s="354"/>
      <c r="H677" s="354"/>
      <c r="I677" s="354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354"/>
      <c r="Y677" s="925"/>
    </row>
    <row r="678" spans="1:25" ht="24" x14ac:dyDescent="0.55000000000000004">
      <c r="A678" s="68"/>
      <c r="B678" s="68"/>
      <c r="C678" s="68"/>
      <c r="D678" s="68"/>
      <c r="E678" s="68"/>
      <c r="F678" s="354"/>
      <c r="G678" s="354"/>
      <c r="H678" s="354"/>
      <c r="I678" s="354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354"/>
      <c r="Y678" s="925"/>
    </row>
    <row r="679" spans="1:25" ht="24" x14ac:dyDescent="0.55000000000000004">
      <c r="A679" s="68"/>
      <c r="B679" s="68"/>
      <c r="C679" s="68"/>
      <c r="D679" s="68"/>
      <c r="E679" s="68"/>
      <c r="F679" s="354"/>
      <c r="G679" s="354"/>
      <c r="H679" s="354"/>
      <c r="I679" s="354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354"/>
      <c r="Y679" s="925"/>
    </row>
    <row r="680" spans="1:25" ht="24" x14ac:dyDescent="0.55000000000000004">
      <c r="A680" s="68"/>
      <c r="B680" s="68"/>
      <c r="C680" s="68"/>
      <c r="D680" s="68"/>
      <c r="E680" s="68"/>
      <c r="F680" s="354"/>
      <c r="G680" s="354"/>
      <c r="H680" s="354"/>
      <c r="I680" s="354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354"/>
      <c r="Y680" s="925"/>
    </row>
    <row r="681" spans="1:25" ht="24" x14ac:dyDescent="0.55000000000000004">
      <c r="A681" s="68"/>
      <c r="B681" s="68"/>
      <c r="C681" s="68"/>
      <c r="D681" s="68"/>
      <c r="E681" s="68"/>
      <c r="F681" s="354"/>
      <c r="G681" s="354"/>
      <c r="H681" s="354"/>
      <c r="I681" s="354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354"/>
      <c r="Y681" s="925"/>
    </row>
    <row r="682" spans="1:25" ht="24" x14ac:dyDescent="0.55000000000000004">
      <c r="A682" s="68"/>
      <c r="B682" s="68"/>
      <c r="C682" s="68"/>
      <c r="D682" s="68"/>
      <c r="E682" s="68"/>
      <c r="F682" s="354"/>
      <c r="G682" s="354"/>
      <c r="H682" s="354"/>
      <c r="I682" s="354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354"/>
      <c r="Y682" s="925"/>
    </row>
    <row r="683" spans="1:25" ht="24" x14ac:dyDescent="0.55000000000000004">
      <c r="A683" s="68"/>
      <c r="B683" s="68"/>
      <c r="C683" s="68"/>
      <c r="D683" s="68"/>
      <c r="E683" s="68"/>
      <c r="F683" s="354"/>
      <c r="G683" s="354"/>
      <c r="H683" s="354"/>
      <c r="I683" s="354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354"/>
      <c r="Y683" s="925"/>
    </row>
    <row r="684" spans="1:25" ht="24" x14ac:dyDescent="0.55000000000000004">
      <c r="A684" s="68"/>
      <c r="B684" s="68"/>
      <c r="C684" s="68"/>
      <c r="D684" s="68"/>
      <c r="E684" s="68"/>
      <c r="F684" s="354"/>
      <c r="G684" s="354"/>
      <c r="H684" s="354"/>
      <c r="I684" s="354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354"/>
      <c r="Y684" s="925"/>
    </row>
    <row r="685" spans="1:25" ht="24" x14ac:dyDescent="0.55000000000000004">
      <c r="A685" s="68"/>
      <c r="B685" s="68"/>
      <c r="C685" s="68"/>
      <c r="D685" s="68"/>
      <c r="E685" s="68"/>
      <c r="F685" s="354"/>
      <c r="G685" s="354"/>
      <c r="H685" s="354"/>
      <c r="I685" s="354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354"/>
      <c r="Y685" s="925"/>
    </row>
    <row r="686" spans="1:25" ht="24" x14ac:dyDescent="0.55000000000000004">
      <c r="A686" s="68"/>
      <c r="B686" s="68"/>
      <c r="C686" s="68"/>
      <c r="D686" s="68"/>
      <c r="E686" s="68"/>
      <c r="F686" s="354"/>
      <c r="G686" s="354"/>
      <c r="H686" s="354"/>
      <c r="I686" s="354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354"/>
      <c r="Y686" s="925"/>
    </row>
    <row r="687" spans="1:25" ht="24" x14ac:dyDescent="0.55000000000000004">
      <c r="A687" s="68"/>
      <c r="B687" s="68"/>
      <c r="C687" s="68"/>
      <c r="D687" s="68"/>
      <c r="E687" s="68"/>
      <c r="F687" s="354"/>
      <c r="G687" s="354"/>
      <c r="H687" s="354"/>
      <c r="I687" s="354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354"/>
      <c r="Y687" s="925"/>
    </row>
    <row r="688" spans="1:25" ht="24" x14ac:dyDescent="0.55000000000000004">
      <c r="A688" s="68"/>
      <c r="B688" s="68"/>
      <c r="C688" s="68"/>
      <c r="D688" s="68"/>
      <c r="E688" s="68"/>
      <c r="F688" s="354"/>
      <c r="G688" s="354"/>
      <c r="H688" s="354"/>
      <c r="I688" s="354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354"/>
      <c r="Y688" s="925"/>
    </row>
    <row r="689" spans="1:25" ht="24" x14ac:dyDescent="0.55000000000000004">
      <c r="A689" s="68"/>
      <c r="B689" s="68"/>
      <c r="C689" s="68"/>
      <c r="D689" s="68"/>
      <c r="E689" s="68"/>
      <c r="F689" s="354"/>
      <c r="G689" s="354"/>
      <c r="H689" s="354"/>
      <c r="I689" s="354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354"/>
      <c r="Y689" s="925"/>
    </row>
    <row r="690" spans="1:25" ht="24" x14ac:dyDescent="0.55000000000000004">
      <c r="A690" s="68"/>
      <c r="B690" s="68"/>
      <c r="C690" s="68"/>
      <c r="D690" s="68"/>
      <c r="E690" s="68"/>
      <c r="F690" s="354"/>
      <c r="G690" s="354"/>
      <c r="H690" s="354"/>
      <c r="I690" s="354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354"/>
      <c r="Y690" s="925"/>
    </row>
    <row r="691" spans="1:25" ht="24" x14ac:dyDescent="0.55000000000000004">
      <c r="A691" s="68"/>
      <c r="B691" s="68"/>
      <c r="C691" s="68"/>
      <c r="D691" s="68"/>
      <c r="E691" s="68"/>
      <c r="F691" s="354"/>
      <c r="G691" s="354"/>
      <c r="H691" s="354"/>
      <c r="I691" s="354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354"/>
      <c r="Y691" s="925"/>
    </row>
    <row r="692" spans="1:25" ht="24" x14ac:dyDescent="0.55000000000000004">
      <c r="A692" s="68"/>
      <c r="B692" s="68"/>
      <c r="C692" s="68"/>
      <c r="D692" s="68"/>
      <c r="E692" s="68"/>
      <c r="F692" s="354"/>
      <c r="G692" s="354"/>
      <c r="H692" s="354"/>
      <c r="I692" s="354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354"/>
      <c r="Y692" s="925"/>
    </row>
    <row r="693" spans="1:25" ht="24" x14ac:dyDescent="0.55000000000000004">
      <c r="A693" s="68"/>
      <c r="B693" s="68"/>
      <c r="C693" s="68"/>
      <c r="D693" s="68"/>
      <c r="E693" s="68"/>
      <c r="F693" s="354"/>
      <c r="G693" s="354"/>
      <c r="H693" s="354"/>
      <c r="I693" s="354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354"/>
      <c r="Y693" s="925"/>
    </row>
    <row r="694" spans="1:25" ht="24" x14ac:dyDescent="0.55000000000000004">
      <c r="A694" s="68"/>
      <c r="B694" s="68"/>
      <c r="C694" s="68"/>
      <c r="D694" s="68"/>
      <c r="E694" s="68"/>
      <c r="F694" s="354"/>
      <c r="G694" s="354"/>
      <c r="H694" s="354"/>
      <c r="I694" s="354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354"/>
      <c r="Y694" s="925"/>
    </row>
    <row r="695" spans="1:25" ht="24" x14ac:dyDescent="0.55000000000000004">
      <c r="A695" s="68"/>
      <c r="B695" s="68"/>
      <c r="C695" s="68"/>
      <c r="D695" s="68"/>
      <c r="E695" s="68"/>
      <c r="F695" s="354"/>
      <c r="G695" s="354"/>
      <c r="H695" s="354"/>
      <c r="I695" s="354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354"/>
      <c r="Y695" s="925"/>
    </row>
    <row r="696" spans="1:25" ht="24" x14ac:dyDescent="0.55000000000000004">
      <c r="A696" s="68"/>
      <c r="B696" s="68"/>
      <c r="C696" s="68"/>
      <c r="D696" s="68"/>
      <c r="E696" s="68"/>
      <c r="F696" s="354"/>
      <c r="G696" s="354"/>
      <c r="H696" s="354"/>
      <c r="I696" s="354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354"/>
      <c r="Y696" s="925"/>
    </row>
    <row r="697" spans="1:25" ht="24" x14ac:dyDescent="0.55000000000000004">
      <c r="A697" s="68"/>
      <c r="B697" s="68"/>
      <c r="C697" s="68"/>
      <c r="D697" s="68"/>
      <c r="E697" s="68"/>
      <c r="F697" s="354"/>
      <c r="G697" s="354"/>
      <c r="H697" s="354"/>
      <c r="I697" s="354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354"/>
      <c r="Y697" s="925"/>
    </row>
    <row r="698" spans="1:25" ht="24" x14ac:dyDescent="0.55000000000000004">
      <c r="A698" s="68"/>
      <c r="B698" s="68"/>
      <c r="C698" s="68"/>
      <c r="D698" s="68"/>
      <c r="E698" s="68"/>
      <c r="F698" s="354"/>
      <c r="G698" s="354"/>
      <c r="H698" s="354"/>
      <c r="I698" s="354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354"/>
      <c r="Y698" s="925"/>
    </row>
    <row r="699" spans="1:25" ht="24" x14ac:dyDescent="0.55000000000000004">
      <c r="A699" s="68"/>
      <c r="B699" s="68"/>
      <c r="C699" s="68"/>
      <c r="D699" s="68"/>
      <c r="E699" s="68"/>
      <c r="F699" s="354"/>
      <c r="G699" s="354"/>
      <c r="H699" s="354"/>
      <c r="I699" s="354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354"/>
      <c r="Y699" s="925"/>
    </row>
    <row r="700" spans="1:25" ht="24" x14ac:dyDescent="0.55000000000000004">
      <c r="A700" s="68"/>
      <c r="B700" s="68"/>
      <c r="C700" s="68"/>
      <c r="D700" s="68"/>
      <c r="E700" s="68"/>
      <c r="F700" s="354"/>
      <c r="G700" s="354"/>
      <c r="H700" s="354"/>
      <c r="I700" s="354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354"/>
      <c r="Y700" s="925"/>
    </row>
    <row r="701" spans="1:25" ht="24" x14ac:dyDescent="0.55000000000000004">
      <c r="A701" s="68"/>
      <c r="B701" s="68"/>
      <c r="C701" s="68"/>
      <c r="D701" s="68"/>
      <c r="E701" s="68"/>
      <c r="F701" s="354"/>
      <c r="G701" s="354"/>
      <c r="H701" s="354"/>
      <c r="I701" s="354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354"/>
      <c r="Y701" s="925"/>
    </row>
    <row r="702" spans="1:25" ht="24" x14ac:dyDescent="0.55000000000000004">
      <c r="A702" s="68"/>
      <c r="B702" s="68"/>
      <c r="C702" s="68"/>
      <c r="D702" s="68"/>
      <c r="E702" s="68"/>
      <c r="F702" s="354"/>
      <c r="G702" s="354"/>
      <c r="H702" s="354"/>
      <c r="I702" s="354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354"/>
      <c r="Y702" s="925"/>
    </row>
    <row r="703" spans="1:25" ht="24" x14ac:dyDescent="0.55000000000000004">
      <c r="A703" s="68"/>
      <c r="B703" s="68"/>
      <c r="C703" s="68"/>
      <c r="D703" s="68"/>
      <c r="E703" s="68"/>
      <c r="F703" s="354"/>
      <c r="G703" s="354"/>
      <c r="H703" s="354"/>
      <c r="I703" s="354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354"/>
      <c r="Y703" s="925"/>
    </row>
    <row r="704" spans="1:25" ht="24" x14ac:dyDescent="0.55000000000000004">
      <c r="A704" s="68"/>
      <c r="B704" s="68"/>
      <c r="C704" s="68"/>
      <c r="D704" s="68"/>
      <c r="E704" s="68"/>
      <c r="F704" s="354"/>
      <c r="G704" s="354"/>
      <c r="H704" s="354"/>
      <c r="I704" s="354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354"/>
      <c r="Y704" s="925"/>
    </row>
    <row r="705" spans="1:25" ht="24" x14ac:dyDescent="0.55000000000000004">
      <c r="A705" s="68"/>
      <c r="B705" s="68"/>
      <c r="C705" s="68"/>
      <c r="D705" s="68"/>
      <c r="E705" s="68"/>
      <c r="F705" s="354"/>
      <c r="G705" s="354"/>
      <c r="H705" s="354"/>
      <c r="I705" s="354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354"/>
      <c r="Y705" s="925"/>
    </row>
    <row r="706" spans="1:25" ht="24" x14ac:dyDescent="0.55000000000000004">
      <c r="A706" s="68"/>
      <c r="B706" s="68"/>
      <c r="C706" s="68"/>
      <c r="D706" s="68"/>
      <c r="E706" s="68"/>
      <c r="F706" s="354"/>
      <c r="G706" s="354"/>
      <c r="H706" s="354"/>
      <c r="I706" s="354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354"/>
      <c r="Y706" s="925"/>
    </row>
    <row r="707" spans="1:25" ht="24" x14ac:dyDescent="0.55000000000000004">
      <c r="A707" s="68"/>
      <c r="B707" s="68"/>
      <c r="C707" s="68"/>
      <c r="D707" s="68"/>
      <c r="E707" s="68"/>
      <c r="F707" s="354"/>
      <c r="G707" s="354"/>
      <c r="H707" s="354"/>
      <c r="I707" s="354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354"/>
      <c r="Y707" s="925"/>
    </row>
    <row r="708" spans="1:25" ht="24" x14ac:dyDescent="0.55000000000000004">
      <c r="A708" s="68"/>
      <c r="B708" s="68"/>
      <c r="C708" s="68"/>
      <c r="D708" s="68"/>
      <c r="E708" s="68"/>
      <c r="F708" s="354"/>
      <c r="G708" s="354"/>
      <c r="H708" s="354"/>
      <c r="I708" s="354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354"/>
      <c r="Y708" s="925"/>
    </row>
    <row r="709" spans="1:25" ht="24" x14ac:dyDescent="0.55000000000000004">
      <c r="A709" s="68"/>
      <c r="B709" s="68"/>
      <c r="C709" s="68"/>
      <c r="D709" s="68"/>
      <c r="E709" s="68"/>
      <c r="F709" s="354"/>
      <c r="G709" s="354"/>
      <c r="H709" s="354"/>
      <c r="I709" s="354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354"/>
      <c r="Y709" s="925"/>
    </row>
    <row r="710" spans="1:25" ht="24" x14ac:dyDescent="0.55000000000000004">
      <c r="A710" s="68"/>
      <c r="B710" s="68"/>
      <c r="C710" s="68"/>
      <c r="D710" s="68"/>
      <c r="E710" s="68"/>
      <c r="F710" s="354"/>
      <c r="G710" s="354"/>
      <c r="H710" s="354"/>
      <c r="I710" s="354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354"/>
      <c r="Y710" s="925"/>
    </row>
    <row r="711" spans="1:25" ht="24" x14ac:dyDescent="0.55000000000000004">
      <c r="A711" s="68"/>
      <c r="B711" s="68"/>
      <c r="C711" s="68"/>
      <c r="D711" s="68"/>
      <c r="E711" s="68"/>
      <c r="F711" s="354"/>
      <c r="G711" s="354"/>
      <c r="H711" s="354"/>
      <c r="I711" s="354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354"/>
      <c r="Y711" s="925"/>
    </row>
    <row r="712" spans="1:25" ht="24" x14ac:dyDescent="0.55000000000000004">
      <c r="A712" s="68"/>
      <c r="B712" s="68"/>
      <c r="C712" s="68"/>
      <c r="D712" s="68"/>
      <c r="E712" s="68"/>
      <c r="F712" s="354"/>
      <c r="G712" s="354"/>
      <c r="H712" s="354"/>
      <c r="I712" s="354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354"/>
      <c r="Y712" s="925"/>
    </row>
    <row r="713" spans="1:25" ht="24" x14ac:dyDescent="0.55000000000000004">
      <c r="A713" s="68"/>
      <c r="B713" s="68"/>
      <c r="C713" s="68"/>
      <c r="D713" s="68"/>
      <c r="E713" s="68"/>
      <c r="F713" s="354"/>
      <c r="G713" s="354"/>
      <c r="H713" s="354"/>
      <c r="I713" s="354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354"/>
      <c r="Y713" s="925"/>
    </row>
    <row r="714" spans="1:25" ht="24" x14ac:dyDescent="0.55000000000000004">
      <c r="A714" s="68"/>
      <c r="B714" s="68"/>
      <c r="C714" s="68"/>
      <c r="D714" s="68"/>
      <c r="E714" s="68"/>
      <c r="F714" s="354"/>
      <c r="G714" s="354"/>
      <c r="H714" s="354"/>
      <c r="I714" s="354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354"/>
      <c r="Y714" s="925"/>
    </row>
    <row r="715" spans="1:25" ht="24" x14ac:dyDescent="0.55000000000000004">
      <c r="A715" s="68"/>
      <c r="B715" s="68"/>
      <c r="C715" s="68"/>
      <c r="D715" s="68"/>
      <c r="E715" s="68"/>
      <c r="F715" s="354"/>
      <c r="G715" s="354"/>
      <c r="H715" s="354"/>
      <c r="I715" s="354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354"/>
      <c r="Y715" s="925"/>
    </row>
    <row r="716" spans="1:25" ht="24" x14ac:dyDescent="0.55000000000000004">
      <c r="A716" s="68"/>
      <c r="B716" s="68"/>
      <c r="C716" s="68"/>
      <c r="D716" s="68"/>
      <c r="E716" s="68"/>
      <c r="F716" s="354"/>
      <c r="G716" s="354"/>
      <c r="H716" s="354"/>
      <c r="I716" s="354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354"/>
      <c r="Y716" s="925"/>
    </row>
    <row r="717" spans="1:25" ht="24" x14ac:dyDescent="0.55000000000000004">
      <c r="A717" s="68"/>
      <c r="B717" s="68"/>
      <c r="C717" s="68"/>
      <c r="D717" s="68"/>
      <c r="E717" s="68"/>
      <c r="F717" s="354"/>
      <c r="G717" s="354"/>
      <c r="H717" s="354"/>
      <c r="I717" s="354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354"/>
      <c r="Y717" s="925"/>
    </row>
    <row r="718" spans="1:25" ht="24" x14ac:dyDescent="0.55000000000000004">
      <c r="A718" s="68"/>
      <c r="B718" s="68"/>
      <c r="C718" s="68"/>
      <c r="D718" s="68"/>
      <c r="E718" s="68"/>
      <c r="F718" s="354"/>
      <c r="G718" s="354"/>
      <c r="H718" s="354"/>
      <c r="I718" s="354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354"/>
      <c r="Y718" s="925"/>
    </row>
    <row r="719" spans="1:25" ht="24" x14ac:dyDescent="0.55000000000000004">
      <c r="A719" s="68"/>
      <c r="B719" s="68"/>
      <c r="C719" s="68"/>
      <c r="D719" s="68"/>
      <c r="E719" s="68"/>
      <c r="F719" s="354"/>
      <c r="G719" s="354"/>
      <c r="H719" s="354"/>
      <c r="I719" s="354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354"/>
      <c r="Y719" s="925"/>
    </row>
    <row r="720" spans="1:25" ht="24" x14ac:dyDescent="0.55000000000000004">
      <c r="A720" s="68"/>
      <c r="B720" s="68"/>
      <c r="C720" s="68"/>
      <c r="D720" s="68"/>
      <c r="E720" s="68"/>
      <c r="F720" s="354"/>
      <c r="G720" s="354"/>
      <c r="H720" s="354"/>
      <c r="I720" s="354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354"/>
      <c r="Y720" s="925"/>
    </row>
    <row r="721" spans="1:25" ht="24" x14ac:dyDescent="0.55000000000000004">
      <c r="A721" s="68"/>
      <c r="B721" s="68"/>
      <c r="C721" s="68"/>
      <c r="D721" s="68"/>
      <c r="E721" s="68"/>
      <c r="F721" s="354"/>
      <c r="G721" s="354"/>
      <c r="H721" s="354"/>
      <c r="I721" s="354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354"/>
      <c r="Y721" s="925"/>
    </row>
    <row r="722" spans="1:25" ht="24" x14ac:dyDescent="0.55000000000000004">
      <c r="A722" s="68"/>
      <c r="B722" s="68"/>
      <c r="C722" s="68"/>
      <c r="D722" s="68"/>
      <c r="E722" s="68"/>
      <c r="F722" s="354"/>
      <c r="G722" s="354"/>
      <c r="H722" s="354"/>
      <c r="I722" s="354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354"/>
      <c r="Y722" s="925"/>
    </row>
    <row r="723" spans="1:25" ht="24" x14ac:dyDescent="0.55000000000000004">
      <c r="A723" s="68"/>
      <c r="B723" s="68"/>
      <c r="C723" s="68"/>
      <c r="D723" s="68"/>
      <c r="E723" s="68"/>
      <c r="F723" s="354"/>
      <c r="G723" s="354"/>
      <c r="H723" s="354"/>
      <c r="I723" s="354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354"/>
      <c r="Y723" s="925"/>
    </row>
    <row r="724" spans="1:25" ht="24" x14ac:dyDescent="0.55000000000000004">
      <c r="A724" s="68"/>
      <c r="B724" s="68"/>
      <c r="C724" s="68"/>
      <c r="D724" s="68"/>
      <c r="E724" s="68"/>
      <c r="F724" s="354"/>
      <c r="G724" s="354"/>
      <c r="H724" s="354"/>
      <c r="I724" s="354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354"/>
      <c r="Y724" s="925"/>
    </row>
    <row r="725" spans="1:25" ht="24" x14ac:dyDescent="0.55000000000000004">
      <c r="A725" s="68"/>
      <c r="B725" s="68"/>
      <c r="C725" s="68"/>
      <c r="D725" s="68"/>
      <c r="E725" s="68"/>
      <c r="F725" s="354"/>
      <c r="G725" s="354"/>
      <c r="H725" s="354"/>
      <c r="I725" s="354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354"/>
      <c r="Y725" s="925"/>
    </row>
    <row r="726" spans="1:25" ht="24" x14ac:dyDescent="0.55000000000000004">
      <c r="A726" s="68"/>
      <c r="B726" s="68"/>
      <c r="C726" s="68"/>
      <c r="D726" s="68"/>
      <c r="E726" s="68"/>
      <c r="F726" s="354"/>
      <c r="G726" s="354"/>
      <c r="H726" s="354"/>
      <c r="I726" s="354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354"/>
      <c r="Y726" s="925"/>
    </row>
    <row r="727" spans="1:25" ht="24" x14ac:dyDescent="0.55000000000000004">
      <c r="A727" s="68"/>
      <c r="B727" s="68"/>
      <c r="C727" s="68"/>
      <c r="D727" s="68"/>
      <c r="E727" s="68"/>
      <c r="F727" s="354"/>
      <c r="G727" s="354"/>
      <c r="H727" s="354"/>
      <c r="I727" s="354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354"/>
      <c r="Y727" s="925"/>
    </row>
    <row r="728" spans="1:25" ht="24" x14ac:dyDescent="0.55000000000000004">
      <c r="A728" s="68"/>
      <c r="B728" s="68"/>
      <c r="C728" s="68"/>
      <c r="D728" s="68"/>
      <c r="E728" s="68"/>
      <c r="F728" s="354"/>
      <c r="G728" s="354"/>
      <c r="H728" s="354"/>
      <c r="I728" s="354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354"/>
      <c r="Y728" s="925"/>
    </row>
    <row r="729" spans="1:25" ht="24" x14ac:dyDescent="0.55000000000000004">
      <c r="A729" s="68"/>
      <c r="B729" s="68"/>
      <c r="C729" s="68"/>
      <c r="D729" s="68"/>
      <c r="E729" s="68"/>
      <c r="F729" s="354"/>
      <c r="G729" s="354"/>
      <c r="H729" s="354"/>
      <c r="I729" s="354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354"/>
      <c r="Y729" s="925"/>
    </row>
    <row r="730" spans="1:25" ht="24" x14ac:dyDescent="0.55000000000000004">
      <c r="A730" s="68"/>
      <c r="B730" s="68"/>
      <c r="C730" s="68"/>
      <c r="D730" s="68"/>
      <c r="E730" s="68"/>
      <c r="F730" s="354"/>
      <c r="G730" s="354"/>
      <c r="H730" s="354"/>
      <c r="I730" s="354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354"/>
      <c r="Y730" s="925"/>
    </row>
    <row r="731" spans="1:25" ht="24" x14ac:dyDescent="0.55000000000000004">
      <c r="A731" s="68"/>
      <c r="B731" s="68"/>
      <c r="C731" s="68"/>
      <c r="D731" s="68"/>
      <c r="E731" s="68"/>
      <c r="F731" s="354"/>
      <c r="G731" s="354"/>
      <c r="H731" s="354"/>
      <c r="I731" s="354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354"/>
      <c r="Y731" s="925"/>
    </row>
    <row r="732" spans="1:25" ht="24" x14ac:dyDescent="0.55000000000000004">
      <c r="A732" s="68"/>
      <c r="B732" s="68"/>
      <c r="C732" s="68"/>
      <c r="D732" s="68"/>
      <c r="E732" s="68"/>
      <c r="F732" s="354"/>
      <c r="G732" s="354"/>
      <c r="H732" s="354"/>
      <c r="I732" s="354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354"/>
      <c r="Y732" s="925"/>
    </row>
    <row r="733" spans="1:25" ht="24" x14ac:dyDescent="0.55000000000000004">
      <c r="A733" s="68"/>
      <c r="B733" s="68"/>
      <c r="C733" s="68"/>
      <c r="D733" s="68"/>
      <c r="E733" s="68"/>
      <c r="F733" s="354"/>
      <c r="G733" s="354"/>
      <c r="H733" s="354"/>
      <c r="I733" s="354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354"/>
      <c r="Y733" s="925"/>
    </row>
    <row r="734" spans="1:25" ht="24" x14ac:dyDescent="0.55000000000000004">
      <c r="A734" s="68"/>
      <c r="B734" s="68"/>
      <c r="C734" s="68"/>
      <c r="D734" s="68"/>
      <c r="E734" s="68"/>
      <c r="F734" s="354"/>
      <c r="G734" s="354"/>
      <c r="H734" s="354"/>
      <c r="I734" s="354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354"/>
      <c r="Y734" s="925"/>
    </row>
    <row r="735" spans="1:25" ht="24" x14ac:dyDescent="0.55000000000000004">
      <c r="A735" s="68"/>
      <c r="B735" s="68"/>
      <c r="C735" s="68"/>
      <c r="D735" s="68"/>
      <c r="E735" s="68"/>
      <c r="F735" s="354"/>
      <c r="G735" s="354"/>
      <c r="H735" s="354"/>
      <c r="I735" s="354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354"/>
      <c r="Y735" s="925"/>
    </row>
    <row r="736" spans="1:25" ht="24" x14ac:dyDescent="0.55000000000000004">
      <c r="A736" s="68"/>
      <c r="B736" s="68"/>
      <c r="C736" s="68"/>
      <c r="D736" s="68"/>
      <c r="E736" s="68"/>
      <c r="F736" s="354"/>
      <c r="G736" s="354"/>
      <c r="H736" s="354"/>
      <c r="I736" s="354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354"/>
      <c r="Y736" s="925"/>
    </row>
    <row r="737" spans="1:25" ht="24" x14ac:dyDescent="0.55000000000000004">
      <c r="A737" s="68"/>
      <c r="B737" s="68"/>
      <c r="C737" s="68"/>
      <c r="D737" s="68"/>
      <c r="E737" s="68"/>
      <c r="F737" s="354"/>
      <c r="G737" s="354"/>
      <c r="H737" s="354"/>
      <c r="I737" s="354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354"/>
      <c r="Y737" s="925"/>
    </row>
    <row r="738" spans="1:25" ht="24" x14ac:dyDescent="0.55000000000000004">
      <c r="A738" s="68"/>
      <c r="B738" s="68"/>
      <c r="C738" s="68"/>
      <c r="D738" s="68"/>
      <c r="E738" s="68"/>
      <c r="F738" s="354"/>
      <c r="G738" s="354"/>
      <c r="H738" s="354"/>
      <c r="I738" s="354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354"/>
      <c r="Y738" s="925"/>
    </row>
    <row r="739" spans="1:25" ht="24" x14ac:dyDescent="0.55000000000000004">
      <c r="A739" s="68"/>
      <c r="B739" s="68"/>
      <c r="C739" s="68"/>
      <c r="D739" s="68"/>
      <c r="E739" s="68"/>
      <c r="F739" s="354"/>
      <c r="G739" s="354"/>
      <c r="H739" s="354"/>
      <c r="I739" s="354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354"/>
      <c r="Y739" s="925"/>
    </row>
    <row r="740" spans="1:25" ht="24" x14ac:dyDescent="0.55000000000000004">
      <c r="A740" s="68"/>
      <c r="B740" s="68"/>
      <c r="C740" s="68"/>
      <c r="D740" s="68"/>
      <c r="E740" s="68"/>
      <c r="F740" s="354"/>
      <c r="G740" s="354"/>
      <c r="H740" s="354"/>
      <c r="I740" s="354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354"/>
      <c r="Y740" s="925"/>
    </row>
    <row r="741" spans="1:25" ht="24" x14ac:dyDescent="0.55000000000000004">
      <c r="A741" s="68"/>
      <c r="B741" s="68"/>
      <c r="C741" s="68"/>
      <c r="D741" s="68"/>
      <c r="E741" s="68"/>
      <c r="F741" s="354"/>
      <c r="G741" s="354"/>
      <c r="H741" s="354"/>
      <c r="I741" s="354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354"/>
      <c r="Y741" s="925"/>
    </row>
    <row r="742" spans="1:25" ht="24" x14ac:dyDescent="0.55000000000000004">
      <c r="A742" s="68"/>
      <c r="B742" s="68"/>
      <c r="C742" s="68"/>
      <c r="D742" s="68"/>
      <c r="E742" s="68"/>
      <c r="F742" s="354"/>
      <c r="G742" s="354"/>
      <c r="H742" s="354"/>
      <c r="I742" s="354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354"/>
      <c r="Y742" s="925"/>
    </row>
    <row r="743" spans="1:25" ht="24" x14ac:dyDescent="0.55000000000000004">
      <c r="A743" s="68"/>
      <c r="B743" s="68"/>
      <c r="C743" s="68"/>
      <c r="D743" s="68"/>
      <c r="E743" s="68"/>
      <c r="F743" s="354"/>
      <c r="G743" s="354"/>
      <c r="H743" s="354"/>
      <c r="I743" s="354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354"/>
      <c r="Y743" s="925"/>
    </row>
    <row r="744" spans="1:25" ht="24" x14ac:dyDescent="0.55000000000000004">
      <c r="A744" s="68"/>
      <c r="B744" s="68"/>
      <c r="C744" s="68"/>
      <c r="D744" s="68"/>
      <c r="E744" s="68"/>
      <c r="F744" s="354"/>
      <c r="G744" s="354"/>
      <c r="H744" s="354"/>
      <c r="I744" s="354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354"/>
      <c r="Y744" s="925"/>
    </row>
    <row r="745" spans="1:25" ht="24" x14ac:dyDescent="0.55000000000000004">
      <c r="A745" s="68"/>
      <c r="B745" s="68"/>
      <c r="C745" s="68"/>
      <c r="D745" s="68"/>
      <c r="E745" s="68"/>
      <c r="F745" s="354"/>
      <c r="G745" s="354"/>
      <c r="H745" s="354"/>
      <c r="I745" s="354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354"/>
      <c r="Y745" s="925"/>
    </row>
    <row r="746" spans="1:25" ht="24" x14ac:dyDescent="0.55000000000000004">
      <c r="A746" s="68"/>
      <c r="B746" s="68"/>
      <c r="C746" s="68"/>
      <c r="D746" s="68"/>
      <c r="E746" s="68"/>
      <c r="F746" s="354"/>
      <c r="G746" s="354"/>
      <c r="H746" s="354"/>
      <c r="I746" s="354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354"/>
      <c r="Y746" s="925"/>
    </row>
    <row r="747" spans="1:25" ht="24" x14ac:dyDescent="0.55000000000000004">
      <c r="A747" s="68"/>
      <c r="B747" s="68"/>
      <c r="C747" s="68"/>
      <c r="D747" s="68"/>
      <c r="E747" s="68"/>
      <c r="F747" s="354"/>
      <c r="G747" s="354"/>
      <c r="H747" s="354"/>
      <c r="I747" s="354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354"/>
      <c r="Y747" s="925"/>
    </row>
    <row r="748" spans="1:25" ht="24" x14ac:dyDescent="0.55000000000000004">
      <c r="A748" s="68"/>
      <c r="B748" s="68"/>
      <c r="C748" s="68"/>
      <c r="D748" s="68"/>
      <c r="E748" s="68"/>
      <c r="F748" s="354"/>
      <c r="G748" s="354"/>
      <c r="H748" s="354"/>
      <c r="I748" s="354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354"/>
      <c r="Y748" s="925"/>
    </row>
    <row r="749" spans="1:25" ht="24" x14ac:dyDescent="0.55000000000000004">
      <c r="A749" s="68"/>
      <c r="B749" s="68"/>
      <c r="C749" s="68"/>
      <c r="D749" s="68"/>
      <c r="E749" s="68"/>
      <c r="F749" s="354"/>
      <c r="G749" s="354"/>
      <c r="H749" s="354"/>
      <c r="I749" s="354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354"/>
      <c r="Y749" s="925"/>
    </row>
    <row r="750" spans="1:25" ht="24" x14ac:dyDescent="0.55000000000000004">
      <c r="A750" s="68"/>
      <c r="B750" s="68"/>
      <c r="C750" s="68"/>
      <c r="D750" s="68"/>
      <c r="E750" s="68"/>
      <c r="F750" s="354"/>
      <c r="G750" s="354"/>
      <c r="H750" s="354"/>
      <c r="I750" s="354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354"/>
      <c r="Y750" s="925"/>
    </row>
    <row r="751" spans="1:25" ht="24" x14ac:dyDescent="0.55000000000000004">
      <c r="A751" s="68"/>
      <c r="B751" s="68"/>
      <c r="C751" s="68"/>
      <c r="D751" s="68"/>
      <c r="E751" s="68"/>
      <c r="F751" s="354"/>
      <c r="G751" s="354"/>
      <c r="H751" s="354"/>
      <c r="I751" s="354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354"/>
      <c r="Y751" s="925"/>
    </row>
    <row r="752" spans="1:25" ht="24" x14ac:dyDescent="0.55000000000000004">
      <c r="A752" s="68"/>
      <c r="B752" s="68"/>
      <c r="C752" s="68"/>
      <c r="D752" s="68"/>
      <c r="E752" s="68"/>
      <c r="F752" s="354"/>
      <c r="G752" s="354"/>
      <c r="H752" s="354"/>
      <c r="I752" s="354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354"/>
      <c r="Y752" s="925"/>
    </row>
    <row r="753" spans="1:25" ht="24" x14ac:dyDescent="0.55000000000000004">
      <c r="A753" s="68"/>
      <c r="B753" s="68"/>
      <c r="C753" s="68"/>
      <c r="D753" s="68"/>
      <c r="E753" s="68"/>
      <c r="F753" s="354"/>
      <c r="G753" s="354"/>
      <c r="H753" s="354"/>
      <c r="I753" s="354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354"/>
      <c r="Y753" s="925"/>
    </row>
    <row r="754" spans="1:25" ht="24" x14ac:dyDescent="0.55000000000000004">
      <c r="A754" s="68"/>
      <c r="B754" s="68"/>
      <c r="C754" s="68"/>
      <c r="D754" s="68"/>
      <c r="E754" s="68"/>
      <c r="F754" s="354"/>
      <c r="G754" s="354"/>
      <c r="H754" s="354"/>
      <c r="I754" s="354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354"/>
      <c r="Y754" s="925"/>
    </row>
    <row r="755" spans="1:25" ht="24" x14ac:dyDescent="0.55000000000000004">
      <c r="A755" s="68"/>
      <c r="B755" s="68"/>
      <c r="C755" s="68"/>
      <c r="D755" s="68"/>
      <c r="E755" s="68"/>
      <c r="F755" s="354"/>
      <c r="G755" s="354"/>
      <c r="H755" s="354"/>
      <c r="I755" s="354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354"/>
      <c r="Y755" s="925"/>
    </row>
    <row r="756" spans="1:25" ht="24" x14ac:dyDescent="0.55000000000000004">
      <c r="A756" s="68"/>
      <c r="B756" s="68"/>
      <c r="C756" s="68"/>
      <c r="D756" s="68"/>
      <c r="E756" s="68"/>
      <c r="F756" s="354"/>
      <c r="G756" s="354"/>
      <c r="H756" s="354"/>
      <c r="I756" s="354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354"/>
      <c r="Y756" s="925"/>
    </row>
    <row r="757" spans="1:25" ht="24" x14ac:dyDescent="0.55000000000000004">
      <c r="A757" s="68"/>
      <c r="B757" s="68"/>
      <c r="C757" s="68"/>
      <c r="D757" s="68"/>
      <c r="E757" s="68"/>
      <c r="F757" s="354"/>
      <c r="G757" s="354"/>
      <c r="H757" s="354"/>
      <c r="I757" s="354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354"/>
      <c r="Y757" s="925"/>
    </row>
    <row r="758" spans="1:25" ht="24" x14ac:dyDescent="0.55000000000000004">
      <c r="A758" s="68"/>
      <c r="B758" s="68"/>
      <c r="C758" s="68"/>
      <c r="D758" s="68"/>
      <c r="E758" s="68"/>
      <c r="F758" s="354"/>
      <c r="G758" s="354"/>
      <c r="H758" s="354"/>
      <c r="I758" s="354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354"/>
      <c r="Y758" s="925"/>
    </row>
    <row r="759" spans="1:25" ht="24" x14ac:dyDescent="0.55000000000000004">
      <c r="A759" s="68"/>
      <c r="B759" s="68"/>
      <c r="C759" s="68"/>
      <c r="D759" s="68"/>
      <c r="E759" s="68"/>
      <c r="F759" s="354"/>
      <c r="G759" s="354"/>
      <c r="H759" s="354"/>
      <c r="I759" s="354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354"/>
      <c r="Y759" s="925"/>
    </row>
    <row r="760" spans="1:25" ht="24" x14ac:dyDescent="0.55000000000000004">
      <c r="A760" s="68"/>
      <c r="B760" s="68"/>
      <c r="C760" s="68"/>
      <c r="D760" s="68"/>
      <c r="E760" s="68"/>
      <c r="F760" s="354"/>
      <c r="G760" s="354"/>
      <c r="H760" s="354"/>
      <c r="I760" s="354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354"/>
      <c r="Y760" s="925"/>
    </row>
    <row r="761" spans="1:25" ht="24" x14ac:dyDescent="0.55000000000000004">
      <c r="A761" s="68"/>
      <c r="B761" s="68"/>
      <c r="C761" s="68"/>
      <c r="D761" s="68"/>
      <c r="E761" s="68"/>
      <c r="F761" s="354"/>
      <c r="G761" s="354"/>
      <c r="H761" s="354"/>
      <c r="I761" s="354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354"/>
      <c r="Y761" s="925"/>
    </row>
    <row r="762" spans="1:25" ht="24" x14ac:dyDescent="0.55000000000000004">
      <c r="A762" s="68"/>
      <c r="B762" s="68"/>
      <c r="C762" s="68"/>
      <c r="D762" s="68"/>
      <c r="E762" s="68"/>
      <c r="F762" s="354"/>
      <c r="G762" s="354"/>
      <c r="H762" s="354"/>
      <c r="I762" s="354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354"/>
      <c r="Y762" s="925"/>
    </row>
    <row r="763" spans="1:25" ht="24" x14ac:dyDescent="0.55000000000000004">
      <c r="A763" s="68"/>
      <c r="B763" s="68"/>
      <c r="C763" s="68"/>
      <c r="D763" s="68"/>
      <c r="E763" s="68"/>
      <c r="F763" s="354"/>
      <c r="G763" s="354"/>
      <c r="H763" s="354"/>
      <c r="I763" s="354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354"/>
      <c r="Y763" s="925"/>
    </row>
    <row r="764" spans="1:25" ht="24" x14ac:dyDescent="0.55000000000000004">
      <c r="A764" s="68"/>
      <c r="B764" s="68"/>
      <c r="C764" s="68"/>
      <c r="D764" s="68"/>
      <c r="E764" s="68"/>
      <c r="F764" s="354"/>
      <c r="G764" s="354"/>
      <c r="H764" s="354"/>
      <c r="I764" s="354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354"/>
      <c r="Y764" s="925"/>
    </row>
    <row r="765" spans="1:25" ht="24" x14ac:dyDescent="0.55000000000000004">
      <c r="A765" s="68"/>
      <c r="B765" s="68"/>
      <c r="C765" s="68"/>
      <c r="D765" s="68"/>
      <c r="E765" s="68"/>
      <c r="F765" s="354"/>
      <c r="G765" s="354"/>
      <c r="H765" s="354"/>
      <c r="I765" s="354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354"/>
      <c r="Y765" s="925"/>
    </row>
    <row r="766" spans="1:25" ht="24" x14ac:dyDescent="0.55000000000000004">
      <c r="A766" s="68"/>
      <c r="B766" s="68"/>
      <c r="C766" s="68"/>
      <c r="D766" s="68"/>
      <c r="E766" s="68"/>
      <c r="F766" s="354"/>
      <c r="G766" s="354"/>
      <c r="H766" s="354"/>
      <c r="I766" s="354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354"/>
      <c r="Y766" s="925"/>
    </row>
    <row r="767" spans="1:25" ht="24" x14ac:dyDescent="0.55000000000000004">
      <c r="A767" s="68"/>
      <c r="B767" s="68"/>
      <c r="C767" s="68"/>
      <c r="D767" s="68"/>
      <c r="E767" s="68"/>
      <c r="F767" s="354"/>
      <c r="G767" s="354"/>
      <c r="H767" s="354"/>
      <c r="I767" s="354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354"/>
      <c r="Y767" s="925"/>
    </row>
    <row r="768" spans="1:25" ht="24" x14ac:dyDescent="0.55000000000000004">
      <c r="A768" s="68"/>
      <c r="B768" s="68"/>
      <c r="C768" s="68"/>
      <c r="D768" s="68"/>
      <c r="E768" s="68"/>
      <c r="F768" s="354"/>
      <c r="G768" s="354"/>
      <c r="H768" s="354"/>
      <c r="I768" s="354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354"/>
      <c r="Y768" s="925"/>
    </row>
    <row r="769" spans="1:25" ht="24" x14ac:dyDescent="0.55000000000000004">
      <c r="A769" s="68"/>
      <c r="B769" s="68"/>
      <c r="C769" s="68"/>
      <c r="D769" s="68"/>
      <c r="E769" s="68"/>
      <c r="F769" s="354"/>
      <c r="G769" s="354"/>
      <c r="H769" s="354"/>
      <c r="I769" s="354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354"/>
      <c r="Y769" s="925"/>
    </row>
    <row r="770" spans="1:25" ht="24" x14ac:dyDescent="0.55000000000000004">
      <c r="A770" s="68"/>
      <c r="B770" s="68"/>
      <c r="C770" s="68"/>
      <c r="D770" s="68"/>
      <c r="E770" s="68"/>
      <c r="F770" s="354"/>
      <c r="G770" s="354"/>
      <c r="H770" s="354"/>
      <c r="I770" s="354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354"/>
      <c r="Y770" s="925"/>
    </row>
    <row r="771" spans="1:25" ht="24" x14ac:dyDescent="0.55000000000000004">
      <c r="A771" s="68"/>
      <c r="B771" s="68"/>
      <c r="C771" s="68"/>
      <c r="D771" s="68"/>
      <c r="E771" s="68"/>
      <c r="F771" s="354"/>
      <c r="G771" s="354"/>
      <c r="H771" s="354"/>
      <c r="I771" s="354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354"/>
      <c r="Y771" s="925"/>
    </row>
    <row r="772" spans="1:25" ht="24" x14ac:dyDescent="0.55000000000000004">
      <c r="A772" s="68"/>
      <c r="B772" s="68"/>
      <c r="C772" s="68"/>
      <c r="D772" s="68"/>
      <c r="E772" s="68"/>
      <c r="F772" s="354"/>
      <c r="G772" s="354"/>
      <c r="H772" s="354"/>
      <c r="I772" s="354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354"/>
      <c r="Y772" s="925"/>
    </row>
    <row r="773" spans="1:25" ht="24" x14ac:dyDescent="0.55000000000000004">
      <c r="A773" s="68"/>
      <c r="B773" s="68"/>
      <c r="C773" s="68"/>
      <c r="D773" s="68"/>
      <c r="E773" s="68"/>
      <c r="F773" s="354"/>
      <c r="G773" s="354"/>
      <c r="H773" s="354"/>
      <c r="I773" s="354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354"/>
      <c r="Y773" s="925"/>
    </row>
    <row r="774" spans="1:25" ht="24" x14ac:dyDescent="0.55000000000000004">
      <c r="A774" s="68"/>
      <c r="B774" s="68"/>
      <c r="C774" s="68"/>
      <c r="D774" s="68"/>
      <c r="E774" s="68"/>
      <c r="F774" s="354"/>
      <c r="G774" s="354"/>
      <c r="H774" s="354"/>
      <c r="I774" s="354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354"/>
      <c r="Y774" s="925"/>
    </row>
    <row r="775" spans="1:25" ht="24" x14ac:dyDescent="0.55000000000000004">
      <c r="A775" s="68"/>
      <c r="B775" s="68"/>
      <c r="C775" s="68"/>
      <c r="D775" s="68"/>
      <c r="E775" s="68"/>
      <c r="F775" s="354"/>
      <c r="G775" s="354"/>
      <c r="H775" s="354"/>
      <c r="I775" s="354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354"/>
      <c r="Y775" s="925"/>
    </row>
    <row r="776" spans="1:25" ht="24" x14ac:dyDescent="0.55000000000000004">
      <c r="A776" s="68"/>
      <c r="B776" s="68"/>
      <c r="C776" s="68"/>
      <c r="D776" s="68"/>
      <c r="E776" s="68"/>
      <c r="F776" s="354"/>
      <c r="G776" s="354"/>
      <c r="H776" s="354"/>
      <c r="I776" s="354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354"/>
      <c r="Y776" s="925"/>
    </row>
    <row r="777" spans="1:25" ht="24" x14ac:dyDescent="0.55000000000000004">
      <c r="A777" s="68"/>
      <c r="B777" s="68"/>
      <c r="C777" s="68"/>
      <c r="D777" s="68"/>
      <c r="E777" s="68"/>
      <c r="F777" s="354"/>
      <c r="G777" s="354"/>
      <c r="H777" s="354"/>
      <c r="I777" s="354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354"/>
      <c r="Y777" s="925"/>
    </row>
    <row r="778" spans="1:25" ht="24" x14ac:dyDescent="0.55000000000000004">
      <c r="A778" s="68"/>
      <c r="B778" s="68"/>
      <c r="C778" s="68"/>
      <c r="D778" s="68"/>
      <c r="E778" s="68"/>
      <c r="F778" s="354"/>
      <c r="G778" s="354"/>
      <c r="H778" s="354"/>
      <c r="I778" s="354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354"/>
      <c r="Y778" s="925"/>
    </row>
    <row r="779" spans="1:25" ht="24" x14ac:dyDescent="0.55000000000000004">
      <c r="A779" s="68"/>
      <c r="B779" s="68"/>
      <c r="C779" s="68"/>
      <c r="D779" s="68"/>
      <c r="E779" s="68"/>
      <c r="F779" s="354"/>
      <c r="G779" s="354"/>
      <c r="H779" s="354"/>
      <c r="I779" s="354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354"/>
      <c r="Y779" s="925"/>
    </row>
    <row r="780" spans="1:25" ht="24" x14ac:dyDescent="0.55000000000000004">
      <c r="A780" s="68"/>
      <c r="B780" s="68"/>
      <c r="C780" s="68"/>
      <c r="D780" s="68"/>
      <c r="E780" s="68"/>
      <c r="F780" s="354"/>
      <c r="G780" s="354"/>
      <c r="H780" s="354"/>
      <c r="I780" s="354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354"/>
      <c r="Y780" s="925"/>
    </row>
    <row r="781" spans="1:25" ht="24" x14ac:dyDescent="0.55000000000000004">
      <c r="A781" s="68"/>
      <c r="B781" s="68"/>
      <c r="C781" s="68"/>
      <c r="D781" s="68"/>
      <c r="E781" s="68"/>
      <c r="F781" s="354"/>
      <c r="G781" s="354"/>
      <c r="H781" s="354"/>
      <c r="I781" s="354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354"/>
      <c r="Y781" s="925"/>
    </row>
    <row r="782" spans="1:25" ht="24" x14ac:dyDescent="0.55000000000000004">
      <c r="A782" s="68"/>
      <c r="B782" s="68"/>
      <c r="C782" s="68"/>
      <c r="D782" s="68"/>
      <c r="E782" s="68"/>
      <c r="F782" s="354"/>
      <c r="G782" s="354"/>
      <c r="H782" s="354"/>
      <c r="I782" s="354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354"/>
      <c r="Y782" s="925"/>
    </row>
    <row r="783" spans="1:25" ht="24" x14ac:dyDescent="0.55000000000000004">
      <c r="A783" s="68"/>
      <c r="B783" s="68"/>
      <c r="C783" s="68"/>
      <c r="D783" s="68"/>
      <c r="E783" s="68"/>
      <c r="F783" s="354"/>
      <c r="G783" s="354"/>
      <c r="H783" s="354"/>
      <c r="I783" s="354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354"/>
      <c r="Y783" s="925"/>
    </row>
    <row r="784" spans="1:25" ht="24" x14ac:dyDescent="0.55000000000000004">
      <c r="A784" s="68"/>
      <c r="B784" s="68"/>
      <c r="C784" s="68"/>
      <c r="D784" s="68"/>
      <c r="E784" s="68"/>
      <c r="F784" s="354"/>
      <c r="G784" s="354"/>
      <c r="H784" s="354"/>
      <c r="I784" s="354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354"/>
      <c r="Y784" s="925"/>
    </row>
    <row r="785" spans="1:25" ht="24" x14ac:dyDescent="0.55000000000000004">
      <c r="A785" s="68"/>
      <c r="B785" s="68"/>
      <c r="C785" s="68"/>
      <c r="D785" s="68"/>
      <c r="E785" s="68"/>
      <c r="F785" s="354"/>
      <c r="G785" s="354"/>
      <c r="H785" s="354"/>
      <c r="I785" s="354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354"/>
      <c r="Y785" s="925"/>
    </row>
    <row r="786" spans="1:25" ht="24" x14ac:dyDescent="0.55000000000000004">
      <c r="A786" s="68"/>
      <c r="B786" s="68"/>
      <c r="C786" s="68"/>
      <c r="D786" s="68"/>
      <c r="E786" s="68"/>
      <c r="F786" s="354"/>
      <c r="G786" s="354"/>
      <c r="H786" s="354"/>
      <c r="I786" s="354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354"/>
      <c r="Y786" s="925"/>
    </row>
    <row r="787" spans="1:25" ht="24" x14ac:dyDescent="0.55000000000000004">
      <c r="A787" s="68"/>
      <c r="B787" s="68"/>
      <c r="C787" s="68"/>
      <c r="D787" s="68"/>
      <c r="E787" s="68"/>
      <c r="F787" s="354"/>
      <c r="G787" s="354"/>
      <c r="H787" s="354"/>
      <c r="I787" s="354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354"/>
      <c r="Y787" s="925"/>
    </row>
    <row r="788" spans="1:25" ht="24" x14ac:dyDescent="0.55000000000000004">
      <c r="A788" s="68"/>
      <c r="B788" s="68"/>
      <c r="C788" s="68"/>
      <c r="D788" s="68"/>
      <c r="E788" s="68"/>
      <c r="F788" s="354"/>
      <c r="G788" s="354"/>
      <c r="H788" s="354"/>
      <c r="I788" s="354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354"/>
      <c r="Y788" s="925"/>
    </row>
    <row r="789" spans="1:25" ht="24" x14ac:dyDescent="0.55000000000000004">
      <c r="A789" s="68"/>
      <c r="B789" s="68"/>
      <c r="C789" s="68"/>
      <c r="D789" s="68"/>
      <c r="E789" s="68"/>
      <c r="F789" s="354"/>
      <c r="G789" s="354"/>
      <c r="H789" s="354"/>
      <c r="I789" s="354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354"/>
      <c r="Y789" s="925"/>
    </row>
    <row r="790" spans="1:25" ht="24" x14ac:dyDescent="0.55000000000000004">
      <c r="A790" s="68"/>
      <c r="B790" s="68"/>
      <c r="C790" s="68"/>
      <c r="D790" s="68"/>
      <c r="E790" s="68"/>
      <c r="F790" s="354"/>
      <c r="G790" s="354"/>
      <c r="H790" s="354"/>
      <c r="I790" s="354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354"/>
      <c r="Y790" s="925"/>
    </row>
    <row r="791" spans="1:25" ht="24" x14ac:dyDescent="0.55000000000000004">
      <c r="A791" s="68"/>
      <c r="B791" s="68"/>
      <c r="C791" s="68"/>
      <c r="D791" s="68"/>
      <c r="E791" s="68"/>
      <c r="F791" s="354"/>
      <c r="G791" s="354"/>
      <c r="H791" s="354"/>
      <c r="I791" s="354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354"/>
      <c r="Y791" s="925"/>
    </row>
    <row r="792" spans="1:25" ht="24" x14ac:dyDescent="0.55000000000000004">
      <c r="A792" s="68"/>
      <c r="B792" s="68"/>
      <c r="C792" s="68"/>
      <c r="D792" s="68"/>
      <c r="E792" s="68"/>
      <c r="F792" s="354"/>
      <c r="G792" s="354"/>
      <c r="H792" s="354"/>
      <c r="I792" s="354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354"/>
      <c r="Y792" s="925"/>
    </row>
    <row r="793" spans="1:25" ht="24" x14ac:dyDescent="0.55000000000000004">
      <c r="A793" s="68"/>
      <c r="B793" s="68"/>
      <c r="C793" s="68"/>
      <c r="D793" s="68"/>
      <c r="E793" s="68"/>
      <c r="F793" s="354"/>
      <c r="G793" s="354"/>
      <c r="H793" s="354"/>
      <c r="I793" s="354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354"/>
      <c r="Y793" s="925"/>
    </row>
    <row r="794" spans="1:25" ht="24" x14ac:dyDescent="0.55000000000000004">
      <c r="A794" s="68"/>
      <c r="B794" s="68"/>
      <c r="C794" s="68"/>
      <c r="D794" s="68"/>
      <c r="E794" s="68"/>
      <c r="F794" s="354"/>
      <c r="G794" s="354"/>
      <c r="H794" s="354"/>
      <c r="I794" s="354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354"/>
      <c r="Y794" s="925"/>
    </row>
    <row r="795" spans="1:25" ht="24" x14ac:dyDescent="0.55000000000000004">
      <c r="A795" s="68"/>
      <c r="B795" s="68"/>
      <c r="C795" s="68"/>
      <c r="D795" s="68"/>
      <c r="E795" s="68"/>
      <c r="F795" s="354"/>
      <c r="G795" s="354"/>
      <c r="H795" s="354"/>
      <c r="I795" s="354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354"/>
      <c r="Y795" s="925"/>
    </row>
    <row r="796" spans="1:25" ht="24" x14ac:dyDescent="0.55000000000000004">
      <c r="A796" s="68"/>
      <c r="B796" s="68"/>
      <c r="C796" s="68"/>
      <c r="D796" s="68"/>
      <c r="E796" s="68"/>
      <c r="F796" s="354"/>
      <c r="G796" s="354"/>
      <c r="H796" s="354"/>
      <c r="I796" s="354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354"/>
      <c r="Y796" s="925"/>
    </row>
    <row r="797" spans="1:25" ht="24" x14ac:dyDescent="0.55000000000000004">
      <c r="A797" s="68"/>
      <c r="B797" s="68"/>
      <c r="C797" s="68"/>
      <c r="D797" s="68"/>
      <c r="E797" s="68"/>
      <c r="F797" s="354"/>
      <c r="G797" s="354"/>
      <c r="H797" s="354"/>
      <c r="I797" s="354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354"/>
      <c r="Y797" s="925"/>
    </row>
    <row r="798" spans="1:25" ht="24" x14ac:dyDescent="0.55000000000000004">
      <c r="A798" s="68"/>
      <c r="B798" s="68"/>
      <c r="C798" s="68"/>
      <c r="D798" s="68"/>
      <c r="E798" s="68"/>
      <c r="F798" s="354"/>
      <c r="G798" s="354"/>
      <c r="H798" s="354"/>
      <c r="I798" s="354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354"/>
      <c r="Y798" s="925"/>
    </row>
    <row r="799" spans="1:25" ht="24" x14ac:dyDescent="0.55000000000000004">
      <c r="A799" s="68"/>
      <c r="B799" s="68"/>
      <c r="C799" s="68"/>
      <c r="D799" s="68"/>
      <c r="E799" s="68"/>
      <c r="F799" s="354"/>
      <c r="G799" s="354"/>
      <c r="H799" s="354"/>
      <c r="I799" s="354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354"/>
      <c r="Y799" s="925"/>
    </row>
    <row r="800" spans="1:25" ht="24" x14ac:dyDescent="0.55000000000000004">
      <c r="A800" s="68"/>
      <c r="B800" s="68"/>
      <c r="C800" s="68"/>
      <c r="D800" s="68"/>
      <c r="E800" s="68"/>
      <c r="F800" s="354"/>
      <c r="G800" s="354"/>
      <c r="H800" s="354"/>
      <c r="I800" s="354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354"/>
      <c r="Y800" s="925"/>
    </row>
    <row r="801" spans="1:25" ht="24" x14ac:dyDescent="0.55000000000000004">
      <c r="A801" s="68"/>
      <c r="B801" s="68"/>
      <c r="C801" s="68"/>
      <c r="D801" s="68"/>
      <c r="E801" s="68"/>
      <c r="F801" s="354"/>
      <c r="G801" s="354"/>
      <c r="H801" s="354"/>
      <c r="I801" s="354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354"/>
      <c r="Y801" s="925"/>
    </row>
    <row r="802" spans="1:25" ht="24" x14ac:dyDescent="0.55000000000000004">
      <c r="A802" s="68"/>
      <c r="B802" s="68"/>
      <c r="C802" s="68"/>
      <c r="D802" s="68"/>
      <c r="E802" s="68"/>
      <c r="F802" s="354"/>
      <c r="G802" s="354"/>
      <c r="H802" s="354"/>
      <c r="I802" s="354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354"/>
      <c r="Y802" s="925"/>
    </row>
    <row r="803" spans="1:25" ht="24" x14ac:dyDescent="0.55000000000000004">
      <c r="A803" s="68"/>
      <c r="B803" s="68"/>
      <c r="C803" s="68"/>
      <c r="D803" s="68"/>
      <c r="E803" s="68"/>
      <c r="F803" s="354"/>
      <c r="G803" s="354"/>
      <c r="H803" s="354"/>
      <c r="I803" s="354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354"/>
      <c r="Y803" s="925"/>
    </row>
    <row r="804" spans="1:25" ht="24" x14ac:dyDescent="0.55000000000000004">
      <c r="A804" s="68"/>
      <c r="B804" s="68"/>
      <c r="C804" s="68"/>
      <c r="D804" s="68"/>
      <c r="E804" s="68"/>
      <c r="F804" s="354"/>
      <c r="G804" s="354"/>
      <c r="H804" s="354"/>
      <c r="I804" s="354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354"/>
      <c r="Y804" s="925"/>
    </row>
    <row r="805" spans="1:25" ht="24" x14ac:dyDescent="0.55000000000000004">
      <c r="A805" s="68"/>
      <c r="B805" s="68"/>
      <c r="C805" s="68"/>
      <c r="D805" s="68"/>
      <c r="E805" s="68"/>
      <c r="F805" s="354"/>
      <c r="G805" s="354"/>
      <c r="H805" s="354"/>
      <c r="I805" s="354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354"/>
      <c r="Y805" s="925"/>
    </row>
    <row r="806" spans="1:25" ht="24" x14ac:dyDescent="0.55000000000000004">
      <c r="A806" s="68"/>
      <c r="B806" s="68"/>
      <c r="C806" s="68"/>
      <c r="D806" s="68"/>
      <c r="E806" s="68"/>
      <c r="F806" s="354"/>
      <c r="G806" s="354"/>
      <c r="H806" s="354"/>
      <c r="I806" s="354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354"/>
      <c r="Y806" s="925"/>
    </row>
    <row r="807" spans="1:25" ht="24" x14ac:dyDescent="0.55000000000000004">
      <c r="A807" s="68"/>
      <c r="B807" s="68"/>
      <c r="C807" s="68"/>
      <c r="D807" s="68"/>
      <c r="E807" s="68"/>
      <c r="F807" s="354"/>
      <c r="G807" s="354"/>
      <c r="H807" s="354"/>
      <c r="I807" s="354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354"/>
      <c r="Y807" s="925"/>
    </row>
    <row r="808" spans="1:25" ht="24" x14ac:dyDescent="0.55000000000000004">
      <c r="A808" s="68"/>
      <c r="B808" s="68"/>
      <c r="C808" s="68"/>
      <c r="D808" s="68"/>
      <c r="E808" s="68"/>
      <c r="F808" s="354"/>
      <c r="G808" s="354"/>
      <c r="H808" s="354"/>
      <c r="I808" s="354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354"/>
      <c r="Y808" s="925"/>
    </row>
    <row r="809" spans="1:25" ht="24" x14ac:dyDescent="0.55000000000000004">
      <c r="A809" s="68"/>
      <c r="B809" s="68"/>
      <c r="C809" s="68"/>
      <c r="D809" s="68"/>
      <c r="E809" s="68"/>
      <c r="F809" s="354"/>
      <c r="G809" s="354"/>
      <c r="H809" s="354"/>
      <c r="I809" s="354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354"/>
      <c r="Y809" s="925"/>
    </row>
    <row r="810" spans="1:25" ht="24" x14ac:dyDescent="0.55000000000000004">
      <c r="A810" s="68"/>
      <c r="B810" s="68"/>
      <c r="C810" s="68"/>
      <c r="D810" s="68"/>
      <c r="E810" s="68"/>
      <c r="F810" s="354"/>
      <c r="G810" s="354"/>
      <c r="H810" s="354"/>
      <c r="I810" s="354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354"/>
      <c r="Y810" s="925"/>
    </row>
    <row r="811" spans="1:25" ht="24" x14ac:dyDescent="0.55000000000000004">
      <c r="A811" s="68"/>
      <c r="B811" s="68"/>
      <c r="C811" s="68"/>
      <c r="D811" s="68"/>
      <c r="E811" s="68"/>
      <c r="F811" s="354"/>
      <c r="G811" s="354"/>
      <c r="H811" s="354"/>
      <c r="I811" s="354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354"/>
      <c r="Y811" s="925"/>
    </row>
    <row r="812" spans="1:25" ht="24" x14ac:dyDescent="0.55000000000000004">
      <c r="A812" s="68"/>
      <c r="B812" s="68"/>
      <c r="C812" s="68"/>
      <c r="D812" s="68"/>
      <c r="E812" s="68"/>
      <c r="F812" s="354"/>
      <c r="G812" s="354"/>
      <c r="H812" s="354"/>
      <c r="I812" s="354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354"/>
      <c r="Y812" s="925"/>
    </row>
    <row r="813" spans="1:25" ht="24" x14ac:dyDescent="0.55000000000000004">
      <c r="A813" s="68"/>
      <c r="B813" s="68"/>
      <c r="C813" s="68"/>
      <c r="D813" s="68"/>
      <c r="E813" s="68"/>
      <c r="F813" s="354"/>
      <c r="G813" s="354"/>
      <c r="H813" s="354"/>
      <c r="I813" s="354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354"/>
      <c r="Y813" s="925"/>
    </row>
    <row r="814" spans="1:25" ht="24" x14ac:dyDescent="0.55000000000000004">
      <c r="A814" s="68"/>
      <c r="B814" s="68"/>
      <c r="C814" s="68"/>
      <c r="D814" s="68"/>
      <c r="E814" s="68"/>
      <c r="F814" s="354"/>
      <c r="G814" s="354"/>
      <c r="H814" s="354"/>
      <c r="I814" s="354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354"/>
      <c r="Y814" s="925"/>
    </row>
    <row r="815" spans="1:25" ht="24" x14ac:dyDescent="0.55000000000000004">
      <c r="A815" s="68"/>
      <c r="B815" s="68"/>
      <c r="C815" s="68"/>
      <c r="D815" s="68"/>
      <c r="E815" s="68"/>
      <c r="F815" s="354"/>
      <c r="G815" s="354"/>
      <c r="H815" s="354"/>
      <c r="I815" s="354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354"/>
      <c r="Y815" s="925"/>
    </row>
    <row r="816" spans="1:25" ht="24" x14ac:dyDescent="0.55000000000000004">
      <c r="A816" s="68"/>
      <c r="B816" s="68"/>
      <c r="C816" s="68"/>
      <c r="D816" s="68"/>
      <c r="E816" s="68"/>
      <c r="F816" s="354"/>
      <c r="G816" s="354"/>
      <c r="H816" s="354"/>
      <c r="I816" s="354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354"/>
      <c r="Y816" s="925"/>
    </row>
    <row r="817" spans="1:25" ht="24" x14ac:dyDescent="0.55000000000000004">
      <c r="A817" s="68"/>
      <c r="B817" s="68"/>
      <c r="C817" s="68"/>
      <c r="D817" s="68"/>
      <c r="E817" s="68"/>
      <c r="F817" s="354"/>
      <c r="G817" s="354"/>
      <c r="H817" s="354"/>
      <c r="I817" s="354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354"/>
      <c r="Y817" s="925"/>
    </row>
    <row r="818" spans="1:25" ht="24" x14ac:dyDescent="0.55000000000000004">
      <c r="A818" s="68"/>
      <c r="B818" s="68"/>
      <c r="C818" s="68"/>
      <c r="D818" s="68"/>
      <c r="E818" s="68"/>
      <c r="F818" s="354"/>
      <c r="G818" s="354"/>
      <c r="H818" s="354"/>
      <c r="I818" s="354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354"/>
      <c r="Y818" s="925"/>
    </row>
    <row r="819" spans="1:25" ht="24" x14ac:dyDescent="0.55000000000000004">
      <c r="A819" s="68"/>
      <c r="B819" s="68"/>
      <c r="C819" s="68"/>
      <c r="D819" s="68"/>
      <c r="E819" s="68"/>
      <c r="F819" s="354"/>
      <c r="G819" s="354"/>
      <c r="H819" s="354"/>
      <c r="I819" s="354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354"/>
      <c r="Y819" s="925"/>
    </row>
    <row r="820" spans="1:25" ht="24" x14ac:dyDescent="0.55000000000000004">
      <c r="A820" s="68"/>
      <c r="B820" s="68"/>
      <c r="C820" s="68"/>
      <c r="D820" s="68"/>
      <c r="E820" s="68"/>
      <c r="F820" s="354"/>
      <c r="G820" s="354"/>
      <c r="H820" s="354"/>
      <c r="I820" s="354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354"/>
      <c r="Y820" s="925"/>
    </row>
    <row r="821" spans="1:25" ht="24" x14ac:dyDescent="0.55000000000000004">
      <c r="A821" s="68"/>
      <c r="B821" s="68"/>
      <c r="C821" s="68"/>
      <c r="D821" s="68"/>
      <c r="E821" s="68"/>
      <c r="F821" s="354"/>
      <c r="G821" s="354"/>
      <c r="H821" s="354"/>
      <c r="I821" s="354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354"/>
      <c r="Y821" s="925"/>
    </row>
    <row r="822" spans="1:25" ht="24" x14ac:dyDescent="0.55000000000000004">
      <c r="A822" s="68"/>
      <c r="B822" s="68"/>
      <c r="C822" s="68"/>
      <c r="D822" s="68"/>
      <c r="E822" s="68"/>
      <c r="F822" s="354"/>
      <c r="G822" s="354"/>
      <c r="H822" s="354"/>
      <c r="I822" s="354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354"/>
      <c r="Y822" s="925"/>
    </row>
    <row r="823" spans="1:25" ht="24" x14ac:dyDescent="0.55000000000000004">
      <c r="A823" s="68"/>
      <c r="B823" s="68"/>
      <c r="C823" s="68"/>
      <c r="D823" s="68"/>
      <c r="E823" s="68"/>
      <c r="F823" s="354"/>
      <c r="G823" s="354"/>
      <c r="H823" s="354"/>
      <c r="I823" s="354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354"/>
      <c r="Y823" s="925"/>
    </row>
    <row r="824" spans="1:25" ht="24" x14ac:dyDescent="0.55000000000000004">
      <c r="A824" s="68"/>
      <c r="B824" s="68"/>
      <c r="C824" s="68"/>
      <c r="D824" s="68"/>
      <c r="E824" s="68"/>
      <c r="F824" s="354"/>
      <c r="G824" s="354"/>
      <c r="H824" s="354"/>
      <c r="I824" s="354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354"/>
      <c r="Y824" s="925"/>
    </row>
    <row r="825" spans="1:25" ht="24" x14ac:dyDescent="0.55000000000000004">
      <c r="A825" s="68"/>
      <c r="B825" s="68"/>
      <c r="C825" s="68"/>
      <c r="D825" s="68"/>
      <c r="E825" s="68"/>
      <c r="F825" s="354"/>
      <c r="G825" s="354"/>
      <c r="H825" s="354"/>
      <c r="I825" s="354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354"/>
      <c r="Y825" s="925"/>
    </row>
    <row r="826" spans="1:25" ht="24" x14ac:dyDescent="0.55000000000000004">
      <c r="A826" s="68"/>
      <c r="B826" s="68"/>
      <c r="C826" s="68"/>
      <c r="D826" s="68"/>
      <c r="E826" s="68"/>
      <c r="F826" s="354"/>
      <c r="G826" s="354"/>
      <c r="H826" s="354"/>
      <c r="I826" s="354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354"/>
      <c r="Y826" s="925"/>
    </row>
    <row r="827" spans="1:25" ht="24" x14ac:dyDescent="0.55000000000000004">
      <c r="A827" s="68"/>
      <c r="B827" s="68"/>
      <c r="C827" s="68"/>
      <c r="D827" s="68"/>
      <c r="E827" s="68"/>
      <c r="F827" s="354"/>
      <c r="G827" s="354"/>
      <c r="H827" s="354"/>
      <c r="I827" s="354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354"/>
      <c r="Y827" s="925"/>
    </row>
    <row r="828" spans="1:25" ht="24" x14ac:dyDescent="0.55000000000000004">
      <c r="A828" s="68"/>
      <c r="B828" s="68"/>
      <c r="C828" s="68"/>
      <c r="D828" s="68"/>
      <c r="E828" s="68"/>
      <c r="F828" s="354"/>
      <c r="G828" s="354"/>
      <c r="H828" s="354"/>
      <c r="I828" s="354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354"/>
      <c r="Y828" s="925"/>
    </row>
    <row r="829" spans="1:25" ht="24" x14ac:dyDescent="0.55000000000000004">
      <c r="A829" s="68"/>
      <c r="B829" s="68"/>
      <c r="C829" s="68"/>
      <c r="D829" s="68"/>
      <c r="E829" s="68"/>
      <c r="F829" s="354"/>
      <c r="G829" s="354"/>
      <c r="H829" s="354"/>
      <c r="I829" s="354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354"/>
      <c r="Y829" s="925"/>
    </row>
    <row r="830" spans="1:25" ht="24" x14ac:dyDescent="0.55000000000000004">
      <c r="A830" s="68"/>
      <c r="B830" s="68"/>
      <c r="C830" s="68"/>
      <c r="D830" s="68"/>
      <c r="E830" s="68"/>
      <c r="F830" s="354"/>
      <c r="G830" s="354"/>
      <c r="H830" s="354"/>
      <c r="I830" s="354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354"/>
      <c r="Y830" s="925"/>
    </row>
    <row r="831" spans="1:25" ht="24" x14ac:dyDescent="0.55000000000000004">
      <c r="A831" s="68"/>
      <c r="B831" s="68"/>
      <c r="C831" s="68"/>
      <c r="D831" s="68"/>
      <c r="E831" s="68"/>
      <c r="F831" s="354"/>
      <c r="G831" s="354"/>
      <c r="H831" s="354"/>
      <c r="I831" s="354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354"/>
      <c r="Y831" s="925"/>
    </row>
    <row r="832" spans="1:25" ht="24" x14ac:dyDescent="0.55000000000000004">
      <c r="A832" s="68"/>
      <c r="B832" s="68"/>
      <c r="C832" s="68"/>
      <c r="D832" s="68"/>
      <c r="E832" s="68"/>
      <c r="F832" s="354"/>
      <c r="G832" s="354"/>
      <c r="H832" s="354"/>
      <c r="I832" s="354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354"/>
      <c r="Y832" s="925"/>
    </row>
    <row r="833" spans="1:25" ht="24" x14ac:dyDescent="0.55000000000000004">
      <c r="A833" s="68"/>
      <c r="B833" s="68"/>
      <c r="C833" s="68"/>
      <c r="D833" s="68"/>
      <c r="E833" s="68"/>
      <c r="F833" s="354"/>
      <c r="G833" s="354"/>
      <c r="H833" s="354"/>
      <c r="I833" s="354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354"/>
      <c r="Y833" s="925"/>
    </row>
    <row r="834" spans="1:25" ht="24" x14ac:dyDescent="0.55000000000000004">
      <c r="A834" s="68"/>
      <c r="B834" s="68"/>
      <c r="C834" s="68"/>
      <c r="D834" s="68"/>
      <c r="E834" s="68"/>
      <c r="F834" s="354"/>
      <c r="G834" s="354"/>
      <c r="H834" s="354"/>
      <c r="I834" s="354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354"/>
      <c r="Y834" s="925"/>
    </row>
    <row r="835" spans="1:25" ht="24" x14ac:dyDescent="0.55000000000000004">
      <c r="A835" s="68"/>
      <c r="B835" s="68"/>
      <c r="C835" s="68"/>
      <c r="D835" s="68"/>
      <c r="E835" s="68"/>
      <c r="F835" s="354"/>
      <c r="G835" s="354"/>
      <c r="H835" s="354"/>
      <c r="I835" s="354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354"/>
      <c r="Y835" s="925"/>
    </row>
    <row r="836" spans="1:25" ht="24" x14ac:dyDescent="0.55000000000000004">
      <c r="A836" s="68"/>
      <c r="B836" s="68"/>
      <c r="C836" s="68"/>
      <c r="D836" s="68"/>
      <c r="E836" s="68"/>
      <c r="F836" s="354"/>
      <c r="G836" s="354"/>
      <c r="H836" s="354"/>
      <c r="I836" s="354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354"/>
      <c r="Y836" s="925"/>
    </row>
    <row r="837" spans="1:25" ht="24" x14ac:dyDescent="0.55000000000000004">
      <c r="A837" s="68"/>
      <c r="B837" s="68"/>
      <c r="C837" s="68"/>
      <c r="D837" s="68"/>
      <c r="E837" s="68"/>
      <c r="F837" s="354"/>
      <c r="G837" s="354"/>
      <c r="H837" s="354"/>
      <c r="I837" s="354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354"/>
      <c r="Y837" s="925"/>
    </row>
    <row r="838" spans="1:25" ht="24" x14ac:dyDescent="0.55000000000000004">
      <c r="A838" s="68"/>
      <c r="B838" s="68"/>
      <c r="C838" s="68"/>
      <c r="D838" s="68"/>
      <c r="E838" s="68"/>
      <c r="F838" s="354"/>
      <c r="G838" s="354"/>
      <c r="H838" s="354"/>
      <c r="I838" s="354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354"/>
      <c r="Y838" s="925"/>
    </row>
    <row r="839" spans="1:25" ht="24" x14ac:dyDescent="0.55000000000000004">
      <c r="A839" s="68"/>
      <c r="B839" s="68"/>
      <c r="C839" s="68"/>
      <c r="D839" s="68"/>
      <c r="E839" s="68"/>
      <c r="F839" s="354"/>
      <c r="G839" s="354"/>
      <c r="H839" s="354"/>
      <c r="I839" s="354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354"/>
      <c r="Y839" s="925"/>
    </row>
    <row r="840" spans="1:25" ht="24" x14ac:dyDescent="0.55000000000000004">
      <c r="A840" s="68"/>
      <c r="B840" s="68"/>
      <c r="C840" s="68"/>
      <c r="D840" s="68"/>
      <c r="E840" s="68"/>
      <c r="F840" s="354"/>
      <c r="G840" s="354"/>
      <c r="H840" s="354"/>
      <c r="I840" s="354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354"/>
      <c r="Y840" s="925"/>
    </row>
    <row r="841" spans="1:25" ht="24" x14ac:dyDescent="0.55000000000000004">
      <c r="A841" s="68"/>
      <c r="B841" s="68"/>
      <c r="C841" s="68"/>
      <c r="D841" s="68"/>
      <c r="E841" s="68"/>
      <c r="F841" s="354"/>
      <c r="G841" s="354"/>
      <c r="H841" s="354"/>
      <c r="I841" s="354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354"/>
      <c r="Y841" s="925"/>
    </row>
    <row r="842" spans="1:25" ht="24" x14ac:dyDescent="0.55000000000000004">
      <c r="A842" s="68"/>
      <c r="B842" s="68"/>
      <c r="C842" s="68"/>
      <c r="D842" s="68"/>
      <c r="E842" s="68"/>
      <c r="F842" s="354"/>
      <c r="G842" s="354"/>
      <c r="H842" s="354"/>
      <c r="I842" s="354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354"/>
      <c r="Y842" s="925"/>
    </row>
    <row r="843" spans="1:25" ht="24" x14ac:dyDescent="0.55000000000000004">
      <c r="A843" s="68"/>
      <c r="B843" s="68"/>
      <c r="C843" s="68"/>
      <c r="D843" s="68"/>
      <c r="E843" s="68"/>
      <c r="F843" s="354"/>
      <c r="G843" s="354"/>
      <c r="H843" s="354"/>
      <c r="I843" s="354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354"/>
      <c r="Y843" s="925"/>
    </row>
    <row r="844" spans="1:25" ht="24" x14ac:dyDescent="0.55000000000000004">
      <c r="A844" s="68"/>
      <c r="B844" s="68"/>
      <c r="C844" s="68"/>
      <c r="D844" s="68"/>
      <c r="E844" s="68"/>
      <c r="F844" s="354"/>
      <c r="G844" s="354"/>
      <c r="H844" s="354"/>
      <c r="I844" s="354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354"/>
      <c r="Y844" s="925"/>
    </row>
    <row r="845" spans="1:25" ht="24" x14ac:dyDescent="0.55000000000000004">
      <c r="A845" s="68"/>
      <c r="B845" s="68"/>
      <c r="C845" s="68"/>
      <c r="D845" s="68"/>
      <c r="E845" s="68"/>
      <c r="F845" s="354"/>
      <c r="G845" s="354"/>
      <c r="H845" s="354"/>
      <c r="I845" s="354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354"/>
      <c r="Y845" s="925"/>
    </row>
    <row r="846" spans="1:25" ht="24" x14ac:dyDescent="0.55000000000000004">
      <c r="A846" s="68"/>
      <c r="B846" s="68"/>
      <c r="C846" s="68"/>
      <c r="D846" s="68"/>
      <c r="E846" s="68"/>
      <c r="F846" s="354"/>
      <c r="G846" s="354"/>
      <c r="H846" s="354"/>
      <c r="I846" s="354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354"/>
      <c r="Y846" s="925"/>
    </row>
    <row r="847" spans="1:25" ht="24" x14ac:dyDescent="0.55000000000000004">
      <c r="A847" s="68"/>
      <c r="B847" s="68"/>
      <c r="C847" s="68"/>
      <c r="D847" s="68"/>
      <c r="E847" s="68"/>
      <c r="F847" s="354"/>
      <c r="G847" s="354"/>
      <c r="H847" s="354"/>
      <c r="I847" s="354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354"/>
      <c r="Y847" s="925"/>
    </row>
    <row r="848" spans="1:25" ht="24" x14ac:dyDescent="0.55000000000000004">
      <c r="A848" s="68"/>
      <c r="B848" s="68"/>
      <c r="C848" s="68"/>
      <c r="D848" s="68"/>
      <c r="E848" s="68"/>
      <c r="F848" s="354"/>
      <c r="G848" s="354"/>
      <c r="H848" s="354"/>
      <c r="I848" s="354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354"/>
      <c r="Y848" s="925"/>
    </row>
    <row r="849" spans="1:25" ht="24" x14ac:dyDescent="0.55000000000000004">
      <c r="A849" s="68"/>
      <c r="B849" s="68"/>
      <c r="C849" s="68"/>
      <c r="D849" s="68"/>
      <c r="E849" s="68"/>
      <c r="F849" s="354"/>
      <c r="G849" s="354"/>
      <c r="H849" s="354"/>
      <c r="I849" s="354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354"/>
      <c r="Y849" s="925"/>
    </row>
    <row r="850" spans="1:25" ht="24" x14ac:dyDescent="0.55000000000000004">
      <c r="A850" s="68"/>
      <c r="B850" s="68"/>
      <c r="C850" s="68"/>
      <c r="D850" s="68"/>
      <c r="E850" s="68"/>
      <c r="F850" s="354"/>
      <c r="G850" s="354"/>
      <c r="H850" s="354"/>
      <c r="I850" s="354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354"/>
      <c r="Y850" s="925"/>
    </row>
    <row r="851" spans="1:25" ht="24" x14ac:dyDescent="0.55000000000000004">
      <c r="A851" s="68"/>
      <c r="B851" s="68"/>
      <c r="C851" s="68"/>
      <c r="D851" s="68"/>
      <c r="E851" s="68"/>
      <c r="F851" s="354"/>
      <c r="G851" s="354"/>
      <c r="H851" s="354"/>
      <c r="I851" s="354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354"/>
      <c r="Y851" s="925"/>
    </row>
    <row r="852" spans="1:25" ht="24" x14ac:dyDescent="0.55000000000000004">
      <c r="A852" s="68"/>
      <c r="B852" s="68"/>
      <c r="C852" s="68"/>
      <c r="D852" s="68"/>
      <c r="E852" s="68"/>
      <c r="F852" s="354"/>
      <c r="G852" s="354"/>
      <c r="H852" s="354"/>
      <c r="I852" s="354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354"/>
      <c r="Y852" s="925"/>
    </row>
    <row r="853" spans="1:25" ht="24" x14ac:dyDescent="0.55000000000000004">
      <c r="A853" s="68"/>
      <c r="B853" s="68"/>
      <c r="C853" s="68"/>
      <c r="D853" s="68"/>
      <c r="E853" s="68"/>
      <c r="F853" s="354"/>
      <c r="G853" s="354"/>
      <c r="H853" s="354"/>
      <c r="I853" s="354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354"/>
      <c r="Y853" s="925"/>
    </row>
    <row r="854" spans="1:25" ht="24" x14ac:dyDescent="0.55000000000000004">
      <c r="A854" s="68"/>
      <c r="B854" s="68"/>
      <c r="C854" s="68"/>
      <c r="D854" s="68"/>
      <c r="E854" s="68"/>
      <c r="F854" s="354"/>
      <c r="G854" s="354"/>
      <c r="H854" s="354"/>
      <c r="I854" s="354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354"/>
      <c r="Y854" s="925"/>
    </row>
    <row r="855" spans="1:25" ht="24" x14ac:dyDescent="0.55000000000000004">
      <c r="A855" s="68"/>
      <c r="B855" s="68"/>
      <c r="C855" s="68"/>
      <c r="D855" s="68"/>
      <c r="E855" s="68"/>
      <c r="F855" s="354"/>
      <c r="G855" s="354"/>
      <c r="H855" s="354"/>
      <c r="I855" s="354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354"/>
      <c r="Y855" s="925"/>
    </row>
    <row r="856" spans="1:25" ht="24" x14ac:dyDescent="0.55000000000000004">
      <c r="A856" s="68"/>
      <c r="B856" s="68"/>
      <c r="C856" s="68"/>
      <c r="D856" s="68"/>
      <c r="E856" s="68"/>
      <c r="F856" s="354"/>
      <c r="G856" s="354"/>
      <c r="H856" s="354"/>
      <c r="I856" s="354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354"/>
      <c r="Y856" s="925"/>
    </row>
    <row r="857" spans="1:25" ht="24" x14ac:dyDescent="0.55000000000000004">
      <c r="A857" s="68"/>
      <c r="B857" s="68"/>
      <c r="C857" s="68"/>
      <c r="D857" s="68"/>
      <c r="E857" s="68"/>
      <c r="F857" s="354"/>
      <c r="G857" s="354"/>
      <c r="H857" s="354"/>
      <c r="I857" s="354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354"/>
      <c r="Y857" s="925"/>
    </row>
    <row r="858" spans="1:25" ht="24" x14ac:dyDescent="0.55000000000000004">
      <c r="A858" s="68"/>
      <c r="B858" s="68"/>
      <c r="C858" s="68"/>
      <c r="D858" s="68"/>
      <c r="E858" s="68"/>
      <c r="F858" s="354"/>
      <c r="G858" s="354"/>
      <c r="H858" s="354"/>
      <c r="I858" s="354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354"/>
      <c r="Y858" s="925"/>
    </row>
    <row r="859" spans="1:25" ht="24" x14ac:dyDescent="0.55000000000000004">
      <c r="A859" s="68"/>
      <c r="B859" s="68"/>
      <c r="C859" s="68"/>
      <c r="D859" s="68"/>
      <c r="E859" s="68"/>
      <c r="F859" s="354"/>
      <c r="G859" s="354"/>
      <c r="H859" s="354"/>
      <c r="I859" s="354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354"/>
      <c r="Y859" s="925"/>
    </row>
    <row r="860" spans="1:25" ht="24" x14ac:dyDescent="0.55000000000000004">
      <c r="A860" s="68"/>
      <c r="B860" s="68"/>
      <c r="C860" s="68"/>
      <c r="D860" s="68"/>
      <c r="E860" s="68"/>
      <c r="F860" s="354"/>
      <c r="G860" s="354"/>
      <c r="H860" s="354"/>
      <c r="I860" s="354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354"/>
      <c r="Y860" s="925"/>
    </row>
    <row r="861" spans="1:25" ht="24" x14ac:dyDescent="0.55000000000000004">
      <c r="A861" s="68"/>
      <c r="B861" s="68"/>
      <c r="C861" s="68"/>
      <c r="D861" s="68"/>
      <c r="E861" s="68"/>
      <c r="F861" s="354"/>
      <c r="G861" s="354"/>
      <c r="H861" s="354"/>
      <c r="I861" s="354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354"/>
      <c r="Y861" s="925"/>
    </row>
    <row r="862" spans="1:25" ht="24" x14ac:dyDescent="0.55000000000000004">
      <c r="A862" s="68"/>
      <c r="B862" s="68"/>
      <c r="C862" s="68"/>
      <c r="D862" s="68"/>
      <c r="E862" s="68"/>
      <c r="F862" s="354"/>
      <c r="G862" s="354"/>
      <c r="H862" s="354"/>
      <c r="I862" s="354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354"/>
      <c r="Y862" s="925"/>
    </row>
    <row r="863" spans="1:25" ht="24" x14ac:dyDescent="0.55000000000000004">
      <c r="A863" s="68"/>
      <c r="B863" s="68"/>
      <c r="C863" s="68"/>
      <c r="D863" s="68"/>
      <c r="E863" s="68"/>
      <c r="F863" s="354"/>
      <c r="G863" s="354"/>
      <c r="H863" s="354"/>
      <c r="I863" s="354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354"/>
      <c r="Y863" s="925"/>
    </row>
    <row r="864" spans="1:25" ht="24" x14ac:dyDescent="0.55000000000000004">
      <c r="A864" s="68"/>
      <c r="B864" s="68"/>
      <c r="C864" s="68"/>
      <c r="D864" s="68"/>
      <c r="E864" s="68"/>
      <c r="F864" s="354"/>
      <c r="G864" s="354"/>
      <c r="H864" s="354"/>
      <c r="I864" s="354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354"/>
      <c r="Y864" s="925"/>
    </row>
    <row r="865" spans="1:25" ht="24" x14ac:dyDescent="0.55000000000000004">
      <c r="A865" s="68"/>
      <c r="B865" s="68"/>
      <c r="C865" s="68"/>
      <c r="D865" s="68"/>
      <c r="E865" s="68"/>
      <c r="F865" s="354"/>
      <c r="G865" s="354"/>
      <c r="H865" s="354"/>
      <c r="I865" s="354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354"/>
      <c r="Y865" s="925"/>
    </row>
    <row r="866" spans="1:25" ht="24" x14ac:dyDescent="0.55000000000000004">
      <c r="A866" s="68"/>
      <c r="B866" s="68"/>
      <c r="C866" s="68"/>
      <c r="D866" s="68"/>
      <c r="E866" s="68"/>
      <c r="F866" s="354"/>
      <c r="G866" s="354"/>
      <c r="H866" s="354"/>
      <c r="I866" s="354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354"/>
      <c r="Y866" s="925"/>
    </row>
    <row r="867" spans="1:25" ht="24" x14ac:dyDescent="0.55000000000000004">
      <c r="A867" s="68"/>
      <c r="B867" s="68"/>
      <c r="C867" s="68"/>
      <c r="D867" s="68"/>
      <c r="E867" s="68"/>
      <c r="F867" s="354"/>
      <c r="G867" s="354"/>
      <c r="H867" s="354"/>
      <c r="I867" s="354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354"/>
      <c r="Y867" s="925"/>
    </row>
    <row r="868" spans="1:25" ht="24" x14ac:dyDescent="0.55000000000000004">
      <c r="A868" s="68"/>
      <c r="B868" s="68"/>
      <c r="C868" s="68"/>
      <c r="D868" s="68"/>
      <c r="E868" s="68"/>
      <c r="F868" s="354"/>
      <c r="G868" s="354"/>
      <c r="H868" s="354"/>
      <c r="I868" s="354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354"/>
      <c r="Y868" s="925"/>
    </row>
    <row r="869" spans="1:25" ht="24" x14ac:dyDescent="0.55000000000000004">
      <c r="A869" s="68"/>
      <c r="B869" s="68"/>
      <c r="C869" s="68"/>
      <c r="D869" s="68"/>
      <c r="E869" s="68"/>
      <c r="F869" s="354"/>
      <c r="G869" s="354"/>
      <c r="H869" s="354"/>
      <c r="I869" s="354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354"/>
      <c r="Y869" s="925"/>
    </row>
    <row r="870" spans="1:25" ht="24" x14ac:dyDescent="0.55000000000000004">
      <c r="A870" s="68"/>
      <c r="B870" s="68"/>
      <c r="C870" s="68"/>
      <c r="D870" s="68"/>
      <c r="E870" s="68"/>
      <c r="F870" s="354"/>
      <c r="G870" s="354"/>
      <c r="H870" s="354"/>
      <c r="I870" s="354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354"/>
      <c r="Y870" s="925"/>
    </row>
    <row r="871" spans="1:25" ht="24" x14ac:dyDescent="0.55000000000000004">
      <c r="A871" s="68"/>
      <c r="B871" s="68"/>
      <c r="C871" s="68"/>
      <c r="D871" s="68"/>
      <c r="E871" s="68"/>
      <c r="F871" s="354"/>
      <c r="G871" s="354"/>
      <c r="H871" s="354"/>
      <c r="I871" s="354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354"/>
      <c r="Y871" s="925"/>
    </row>
    <row r="872" spans="1:25" ht="24" x14ac:dyDescent="0.55000000000000004">
      <c r="A872" s="68"/>
      <c r="B872" s="68"/>
      <c r="C872" s="68"/>
      <c r="D872" s="68"/>
      <c r="E872" s="68"/>
      <c r="F872" s="354"/>
      <c r="G872" s="354"/>
      <c r="H872" s="354"/>
      <c r="I872" s="354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354"/>
      <c r="Y872" s="925"/>
    </row>
    <row r="873" spans="1:25" ht="24" x14ac:dyDescent="0.55000000000000004">
      <c r="A873" s="68"/>
      <c r="B873" s="68"/>
      <c r="C873" s="68"/>
      <c r="D873" s="68"/>
      <c r="E873" s="68"/>
      <c r="F873" s="354"/>
      <c r="G873" s="354"/>
      <c r="H873" s="354"/>
      <c r="I873" s="354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354"/>
      <c r="Y873" s="925"/>
    </row>
    <row r="874" spans="1:25" ht="24" x14ac:dyDescent="0.55000000000000004">
      <c r="A874" s="68"/>
      <c r="B874" s="68"/>
      <c r="C874" s="68"/>
      <c r="D874" s="68"/>
      <c r="E874" s="68"/>
      <c r="F874" s="354"/>
      <c r="G874" s="354"/>
      <c r="H874" s="354"/>
      <c r="I874" s="354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354"/>
      <c r="Y874" s="925"/>
    </row>
    <row r="875" spans="1:25" ht="24" x14ac:dyDescent="0.55000000000000004">
      <c r="A875" s="68"/>
      <c r="B875" s="68"/>
      <c r="C875" s="68"/>
      <c r="D875" s="68"/>
      <c r="E875" s="68"/>
      <c r="F875" s="354"/>
      <c r="G875" s="354"/>
      <c r="H875" s="354"/>
      <c r="I875" s="354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354"/>
      <c r="Y875" s="925"/>
    </row>
    <row r="876" spans="1:25" ht="24" x14ac:dyDescent="0.55000000000000004">
      <c r="A876" s="68"/>
      <c r="B876" s="68"/>
      <c r="C876" s="68"/>
      <c r="D876" s="68"/>
      <c r="E876" s="68"/>
      <c r="F876" s="354"/>
      <c r="G876" s="354"/>
      <c r="H876" s="354"/>
      <c r="I876" s="354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354"/>
      <c r="Y876" s="925"/>
    </row>
    <row r="877" spans="1:25" ht="24" x14ac:dyDescent="0.55000000000000004">
      <c r="A877" s="68"/>
      <c r="B877" s="68"/>
      <c r="C877" s="68"/>
      <c r="D877" s="68"/>
      <c r="E877" s="68"/>
      <c r="F877" s="354"/>
      <c r="G877" s="354"/>
      <c r="H877" s="354"/>
      <c r="I877" s="354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354"/>
      <c r="Y877" s="925"/>
    </row>
    <row r="878" spans="1:25" ht="24" x14ac:dyDescent="0.55000000000000004">
      <c r="A878" s="68"/>
      <c r="B878" s="68"/>
      <c r="C878" s="68"/>
      <c r="D878" s="68"/>
      <c r="E878" s="68"/>
      <c r="F878" s="354"/>
      <c r="G878" s="354"/>
      <c r="H878" s="354"/>
      <c r="I878" s="354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354"/>
      <c r="Y878" s="925"/>
    </row>
    <row r="879" spans="1:25" ht="24" x14ac:dyDescent="0.55000000000000004">
      <c r="A879" s="68"/>
      <c r="B879" s="68"/>
      <c r="C879" s="68"/>
      <c r="D879" s="68"/>
      <c r="E879" s="68"/>
      <c r="F879" s="354"/>
      <c r="G879" s="354"/>
      <c r="H879" s="354"/>
      <c r="I879" s="354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354"/>
      <c r="Y879" s="925"/>
    </row>
    <row r="880" spans="1:25" ht="24" x14ac:dyDescent="0.55000000000000004">
      <c r="A880" s="68"/>
      <c r="B880" s="68"/>
      <c r="C880" s="68"/>
      <c r="D880" s="68"/>
      <c r="E880" s="68"/>
      <c r="F880" s="354"/>
      <c r="G880" s="354"/>
      <c r="H880" s="354"/>
      <c r="I880" s="354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354"/>
      <c r="Y880" s="925"/>
    </row>
    <row r="881" spans="1:25" ht="24" x14ac:dyDescent="0.55000000000000004">
      <c r="A881" s="68"/>
      <c r="B881" s="68"/>
      <c r="C881" s="68"/>
      <c r="D881" s="68"/>
      <c r="E881" s="68"/>
      <c r="F881" s="354"/>
      <c r="G881" s="354"/>
      <c r="H881" s="354"/>
      <c r="I881" s="354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354"/>
      <c r="Y881" s="925"/>
    </row>
    <row r="882" spans="1:25" ht="24" x14ac:dyDescent="0.55000000000000004">
      <c r="A882" s="68"/>
      <c r="B882" s="68"/>
      <c r="C882" s="68"/>
      <c r="D882" s="68"/>
      <c r="E882" s="68"/>
      <c r="F882" s="354"/>
      <c r="G882" s="354"/>
      <c r="H882" s="354"/>
      <c r="I882" s="354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354"/>
      <c r="Y882" s="925"/>
    </row>
    <row r="883" spans="1:25" ht="24" x14ac:dyDescent="0.55000000000000004">
      <c r="A883" s="68"/>
      <c r="B883" s="68"/>
      <c r="C883" s="68"/>
      <c r="D883" s="68"/>
      <c r="E883" s="68"/>
      <c r="F883" s="354"/>
      <c r="G883" s="354"/>
      <c r="H883" s="354"/>
      <c r="I883" s="354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354"/>
      <c r="Y883" s="925"/>
    </row>
    <row r="884" spans="1:25" ht="24" x14ac:dyDescent="0.55000000000000004">
      <c r="A884" s="68"/>
      <c r="B884" s="68"/>
      <c r="C884" s="68"/>
      <c r="D884" s="68"/>
      <c r="E884" s="68"/>
      <c r="F884" s="354"/>
      <c r="G884" s="354"/>
      <c r="H884" s="354"/>
      <c r="I884" s="354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354"/>
      <c r="Y884" s="925"/>
    </row>
    <row r="885" spans="1:25" ht="24" x14ac:dyDescent="0.55000000000000004">
      <c r="A885" s="68"/>
      <c r="B885" s="68"/>
      <c r="C885" s="68"/>
      <c r="D885" s="68"/>
      <c r="E885" s="68"/>
      <c r="F885" s="354"/>
      <c r="G885" s="354"/>
      <c r="H885" s="354"/>
      <c r="I885" s="354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354"/>
      <c r="Y885" s="925"/>
    </row>
    <row r="886" spans="1:25" ht="24" x14ac:dyDescent="0.55000000000000004">
      <c r="A886" s="68"/>
      <c r="B886" s="68"/>
      <c r="C886" s="68"/>
      <c r="D886" s="68"/>
      <c r="E886" s="68"/>
      <c r="F886" s="354"/>
      <c r="G886" s="354"/>
      <c r="H886" s="354"/>
      <c r="I886" s="354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354"/>
      <c r="Y886" s="925"/>
    </row>
    <row r="887" spans="1:25" ht="24" x14ac:dyDescent="0.55000000000000004">
      <c r="A887" s="68"/>
      <c r="B887" s="68"/>
      <c r="C887" s="68"/>
      <c r="D887" s="68"/>
      <c r="E887" s="68"/>
      <c r="F887" s="354"/>
      <c r="G887" s="354"/>
      <c r="H887" s="354"/>
      <c r="I887" s="354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354"/>
      <c r="Y887" s="925"/>
    </row>
    <row r="888" spans="1:25" ht="24" x14ac:dyDescent="0.55000000000000004">
      <c r="A888" s="68"/>
      <c r="B888" s="68"/>
      <c r="C888" s="68"/>
      <c r="D888" s="68"/>
      <c r="E888" s="68"/>
      <c r="F888" s="354"/>
      <c r="G888" s="354"/>
      <c r="H888" s="354"/>
      <c r="I888" s="354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354"/>
      <c r="Y888" s="925"/>
    </row>
    <row r="889" spans="1:25" ht="24" x14ac:dyDescent="0.55000000000000004">
      <c r="A889" s="68"/>
      <c r="B889" s="68"/>
      <c r="C889" s="68"/>
      <c r="D889" s="68"/>
      <c r="E889" s="68"/>
      <c r="F889" s="354"/>
      <c r="G889" s="354"/>
      <c r="H889" s="354"/>
      <c r="I889" s="354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354"/>
      <c r="Y889" s="925"/>
    </row>
    <row r="890" spans="1:25" ht="24" x14ac:dyDescent="0.55000000000000004">
      <c r="A890" s="68"/>
      <c r="B890" s="68"/>
      <c r="C890" s="68"/>
      <c r="D890" s="68"/>
      <c r="E890" s="68"/>
      <c r="F890" s="354"/>
      <c r="G890" s="354"/>
      <c r="H890" s="354"/>
      <c r="I890" s="354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354"/>
      <c r="Y890" s="925"/>
    </row>
    <row r="891" spans="1:25" ht="24" x14ac:dyDescent="0.55000000000000004">
      <c r="A891" s="68"/>
      <c r="B891" s="68"/>
      <c r="C891" s="68"/>
      <c r="D891" s="68"/>
      <c r="E891" s="68"/>
      <c r="F891" s="354"/>
      <c r="G891" s="354"/>
      <c r="H891" s="354"/>
      <c r="I891" s="354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354"/>
      <c r="Y891" s="925"/>
    </row>
    <row r="892" spans="1:25" ht="24" x14ac:dyDescent="0.55000000000000004">
      <c r="A892" s="68"/>
      <c r="B892" s="68"/>
      <c r="C892" s="68"/>
      <c r="D892" s="68"/>
      <c r="E892" s="68"/>
      <c r="F892" s="354"/>
      <c r="G892" s="354"/>
      <c r="H892" s="354"/>
      <c r="I892" s="354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354"/>
      <c r="Y892" s="925"/>
    </row>
    <row r="893" spans="1:25" ht="24" x14ac:dyDescent="0.55000000000000004">
      <c r="A893" s="68"/>
      <c r="B893" s="68"/>
      <c r="C893" s="68"/>
      <c r="D893" s="68"/>
      <c r="E893" s="68"/>
      <c r="F893" s="354"/>
      <c r="G893" s="354"/>
      <c r="H893" s="354"/>
      <c r="I893" s="354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354"/>
      <c r="Y893" s="925"/>
    </row>
    <row r="894" spans="1:25" ht="24" x14ac:dyDescent="0.55000000000000004">
      <c r="A894" s="68"/>
      <c r="B894" s="68"/>
      <c r="C894" s="68"/>
      <c r="D894" s="68"/>
      <c r="E894" s="68"/>
      <c r="F894" s="354"/>
      <c r="G894" s="354"/>
      <c r="H894" s="354"/>
      <c r="I894" s="354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354"/>
      <c r="Y894" s="925"/>
    </row>
    <row r="895" spans="1:25" ht="24" x14ac:dyDescent="0.55000000000000004">
      <c r="A895" s="68"/>
      <c r="B895" s="68"/>
      <c r="C895" s="68"/>
      <c r="D895" s="68"/>
      <c r="E895" s="68"/>
      <c r="F895" s="354"/>
      <c r="G895" s="354"/>
      <c r="H895" s="354"/>
      <c r="I895" s="354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354"/>
      <c r="Y895" s="925"/>
    </row>
    <row r="896" spans="1:25" ht="24" x14ac:dyDescent="0.55000000000000004">
      <c r="A896" s="68"/>
      <c r="B896" s="68"/>
      <c r="C896" s="68"/>
      <c r="D896" s="68"/>
      <c r="E896" s="68"/>
      <c r="F896" s="354"/>
      <c r="G896" s="354"/>
      <c r="H896" s="354"/>
      <c r="I896" s="354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354"/>
      <c r="Y896" s="925"/>
    </row>
    <row r="897" spans="1:25" ht="24" x14ac:dyDescent="0.55000000000000004">
      <c r="A897" s="68"/>
      <c r="B897" s="68"/>
      <c r="C897" s="68"/>
      <c r="D897" s="68"/>
      <c r="E897" s="68"/>
      <c r="F897" s="354"/>
      <c r="G897" s="354"/>
      <c r="H897" s="354"/>
      <c r="I897" s="354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354"/>
      <c r="Y897" s="925"/>
    </row>
    <row r="898" spans="1:25" ht="24" x14ac:dyDescent="0.55000000000000004">
      <c r="A898" s="68"/>
      <c r="B898" s="68"/>
      <c r="C898" s="68"/>
      <c r="D898" s="68"/>
      <c r="E898" s="68"/>
      <c r="F898" s="354"/>
      <c r="G898" s="354"/>
      <c r="H898" s="354"/>
      <c r="I898" s="354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354"/>
      <c r="Y898" s="925"/>
    </row>
    <row r="899" spans="1:25" ht="24" x14ac:dyDescent="0.55000000000000004">
      <c r="A899" s="68"/>
      <c r="B899" s="68"/>
      <c r="C899" s="68"/>
      <c r="D899" s="68"/>
      <c r="E899" s="68"/>
      <c r="F899" s="354"/>
      <c r="G899" s="354"/>
      <c r="H899" s="354"/>
      <c r="I899" s="354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354"/>
      <c r="Y899" s="925"/>
    </row>
    <row r="900" spans="1:25" ht="24" x14ac:dyDescent="0.55000000000000004">
      <c r="A900" s="68"/>
      <c r="B900" s="68"/>
      <c r="C900" s="68"/>
      <c r="D900" s="68"/>
      <c r="E900" s="68"/>
      <c r="F900" s="354"/>
      <c r="G900" s="354"/>
      <c r="H900" s="354"/>
      <c r="I900" s="354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354"/>
      <c r="Y900" s="925"/>
    </row>
    <row r="901" spans="1:25" ht="24" x14ac:dyDescent="0.55000000000000004">
      <c r="A901" s="68"/>
      <c r="B901" s="68"/>
      <c r="C901" s="68"/>
      <c r="D901" s="68"/>
      <c r="E901" s="68"/>
      <c r="F901" s="354"/>
      <c r="G901" s="354"/>
      <c r="H901" s="354"/>
      <c r="I901" s="354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354"/>
      <c r="Y901" s="925"/>
    </row>
    <row r="902" spans="1:25" ht="24" x14ac:dyDescent="0.55000000000000004">
      <c r="A902" s="68"/>
      <c r="B902" s="68"/>
      <c r="C902" s="68"/>
      <c r="D902" s="68"/>
      <c r="E902" s="68"/>
      <c r="F902" s="354"/>
      <c r="G902" s="354"/>
      <c r="H902" s="354"/>
      <c r="I902" s="354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354"/>
      <c r="Y902" s="925"/>
    </row>
    <row r="903" spans="1:25" ht="24" x14ac:dyDescent="0.55000000000000004">
      <c r="A903" s="68"/>
      <c r="B903" s="68"/>
      <c r="C903" s="68"/>
      <c r="D903" s="68"/>
      <c r="E903" s="68"/>
      <c r="F903" s="354"/>
      <c r="G903" s="354"/>
      <c r="H903" s="354"/>
      <c r="I903" s="354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354"/>
      <c r="Y903" s="925"/>
    </row>
    <row r="904" spans="1:25" ht="24" x14ac:dyDescent="0.55000000000000004">
      <c r="A904" s="68"/>
      <c r="B904" s="68"/>
      <c r="C904" s="68"/>
      <c r="D904" s="68"/>
      <c r="E904" s="68"/>
      <c r="F904" s="354"/>
      <c r="G904" s="354"/>
      <c r="H904" s="354"/>
      <c r="I904" s="354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354"/>
      <c r="Y904" s="925"/>
    </row>
    <row r="905" spans="1:25" ht="24" x14ac:dyDescent="0.55000000000000004">
      <c r="A905" s="68"/>
      <c r="B905" s="68"/>
      <c r="C905" s="68"/>
      <c r="D905" s="68"/>
      <c r="E905" s="68"/>
      <c r="F905" s="354"/>
      <c r="G905" s="354"/>
      <c r="H905" s="354"/>
      <c r="I905" s="354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354"/>
      <c r="Y905" s="925"/>
    </row>
    <row r="906" spans="1:25" ht="24" x14ac:dyDescent="0.55000000000000004">
      <c r="A906" s="68"/>
      <c r="B906" s="68"/>
      <c r="C906" s="68"/>
      <c r="D906" s="68"/>
      <c r="E906" s="68"/>
      <c r="F906" s="354"/>
      <c r="G906" s="354"/>
      <c r="H906" s="354"/>
      <c r="I906" s="354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354"/>
      <c r="Y906" s="925"/>
    </row>
    <row r="907" spans="1:25" ht="24" x14ac:dyDescent="0.55000000000000004">
      <c r="A907" s="68"/>
      <c r="B907" s="68"/>
      <c r="C907" s="68"/>
      <c r="D907" s="68"/>
      <c r="E907" s="68"/>
      <c r="F907" s="354"/>
      <c r="G907" s="354"/>
      <c r="H907" s="354"/>
      <c r="I907" s="354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354"/>
      <c r="Y907" s="925"/>
    </row>
    <row r="908" spans="1:25" ht="24" x14ac:dyDescent="0.55000000000000004">
      <c r="A908" s="68"/>
      <c r="B908" s="68"/>
      <c r="C908" s="68"/>
      <c r="D908" s="68"/>
      <c r="E908" s="68"/>
      <c r="F908" s="354"/>
      <c r="G908" s="354"/>
      <c r="H908" s="354"/>
      <c r="I908" s="354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354"/>
      <c r="Y908" s="925"/>
    </row>
    <row r="909" spans="1:25" ht="24" x14ac:dyDescent="0.55000000000000004">
      <c r="A909" s="68"/>
      <c r="B909" s="68"/>
      <c r="C909" s="68"/>
      <c r="D909" s="68"/>
      <c r="E909" s="68"/>
      <c r="F909" s="354"/>
      <c r="G909" s="354"/>
      <c r="H909" s="354"/>
      <c r="I909" s="354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354"/>
      <c r="Y909" s="925"/>
    </row>
    <row r="910" spans="1:25" ht="24" x14ac:dyDescent="0.55000000000000004">
      <c r="A910" s="68"/>
      <c r="B910" s="68"/>
      <c r="C910" s="68"/>
      <c r="D910" s="68"/>
      <c r="E910" s="68"/>
      <c r="F910" s="354"/>
      <c r="G910" s="354"/>
      <c r="H910" s="354"/>
      <c r="I910" s="354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354"/>
      <c r="Y910" s="925"/>
    </row>
    <row r="911" spans="1:25" ht="24" x14ac:dyDescent="0.55000000000000004">
      <c r="A911" s="68"/>
      <c r="B911" s="68"/>
      <c r="C911" s="68"/>
      <c r="D911" s="68"/>
      <c r="E911" s="68"/>
      <c r="F911" s="354"/>
      <c r="G911" s="354"/>
      <c r="H911" s="354"/>
      <c r="I911" s="354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354"/>
      <c r="Y911" s="925"/>
    </row>
    <row r="912" spans="1:25" ht="24" x14ac:dyDescent="0.55000000000000004">
      <c r="A912" s="68"/>
      <c r="B912" s="68"/>
      <c r="C912" s="68"/>
      <c r="D912" s="68"/>
      <c r="E912" s="68"/>
      <c r="F912" s="354"/>
      <c r="G912" s="354"/>
      <c r="H912" s="354"/>
      <c r="I912" s="354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354"/>
      <c r="Y912" s="925"/>
    </row>
    <row r="913" spans="1:25" ht="24" x14ac:dyDescent="0.55000000000000004">
      <c r="A913" s="68"/>
      <c r="B913" s="68"/>
      <c r="C913" s="68"/>
      <c r="D913" s="68"/>
      <c r="E913" s="68"/>
      <c r="F913" s="354"/>
      <c r="G913" s="354"/>
      <c r="H913" s="354"/>
      <c r="I913" s="354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354"/>
      <c r="Y913" s="925"/>
    </row>
    <row r="914" spans="1:25" ht="24" x14ac:dyDescent="0.55000000000000004">
      <c r="A914" s="68"/>
      <c r="B914" s="68"/>
      <c r="C914" s="68"/>
      <c r="D914" s="68"/>
      <c r="E914" s="68"/>
      <c r="F914" s="354"/>
      <c r="G914" s="354"/>
      <c r="H914" s="354"/>
      <c r="I914" s="354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354"/>
      <c r="Y914" s="925"/>
    </row>
    <row r="915" spans="1:25" ht="24" x14ac:dyDescent="0.55000000000000004">
      <c r="A915" s="68"/>
      <c r="B915" s="68"/>
      <c r="C915" s="68"/>
      <c r="D915" s="68"/>
      <c r="E915" s="68"/>
      <c r="F915" s="354"/>
      <c r="G915" s="354"/>
      <c r="H915" s="354"/>
      <c r="I915" s="354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354"/>
      <c r="Y915" s="925"/>
    </row>
    <row r="916" spans="1:25" ht="24" x14ac:dyDescent="0.55000000000000004">
      <c r="A916" s="68"/>
      <c r="B916" s="68"/>
      <c r="C916" s="68"/>
      <c r="D916" s="68"/>
      <c r="E916" s="68"/>
      <c r="F916" s="354"/>
      <c r="G916" s="354"/>
      <c r="H916" s="354"/>
      <c r="I916" s="354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354"/>
      <c r="Y916" s="925"/>
    </row>
    <row r="917" spans="1:25" ht="24" x14ac:dyDescent="0.55000000000000004">
      <c r="A917" s="68"/>
      <c r="B917" s="68"/>
      <c r="C917" s="68"/>
      <c r="D917" s="68"/>
      <c r="E917" s="68"/>
      <c r="F917" s="354"/>
      <c r="G917" s="354"/>
      <c r="H917" s="354"/>
      <c r="I917" s="354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354"/>
      <c r="Y917" s="925"/>
    </row>
    <row r="918" spans="1:25" ht="24" x14ac:dyDescent="0.55000000000000004">
      <c r="A918" s="68"/>
      <c r="B918" s="68"/>
      <c r="C918" s="68"/>
      <c r="D918" s="68"/>
      <c r="E918" s="68"/>
      <c r="F918" s="354"/>
      <c r="G918" s="354"/>
      <c r="H918" s="354"/>
      <c r="I918" s="354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354"/>
      <c r="Y918" s="925"/>
    </row>
    <row r="919" spans="1:25" ht="24" x14ac:dyDescent="0.55000000000000004">
      <c r="A919" s="68"/>
      <c r="B919" s="68"/>
      <c r="C919" s="68"/>
      <c r="D919" s="68"/>
      <c r="E919" s="68"/>
      <c r="F919" s="354"/>
      <c r="G919" s="354"/>
      <c r="H919" s="354"/>
      <c r="I919" s="354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354"/>
      <c r="Y919" s="925"/>
    </row>
    <row r="920" spans="1:25" ht="24" x14ac:dyDescent="0.55000000000000004">
      <c r="A920" s="68"/>
      <c r="B920" s="68"/>
      <c r="C920" s="68"/>
      <c r="D920" s="68"/>
      <c r="E920" s="68"/>
      <c r="F920" s="354"/>
      <c r="G920" s="354"/>
      <c r="H920" s="354"/>
      <c r="I920" s="354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354"/>
      <c r="Y920" s="925"/>
    </row>
    <row r="921" spans="1:25" ht="24" x14ac:dyDescent="0.55000000000000004">
      <c r="A921" s="68"/>
      <c r="B921" s="68"/>
      <c r="C921" s="68"/>
      <c r="D921" s="68"/>
      <c r="E921" s="68"/>
      <c r="F921" s="354"/>
      <c r="G921" s="354"/>
      <c r="H921" s="354"/>
      <c r="I921" s="354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354"/>
      <c r="Y921" s="925"/>
    </row>
    <row r="922" spans="1:25" ht="24" x14ac:dyDescent="0.55000000000000004">
      <c r="A922" s="68"/>
      <c r="B922" s="68"/>
      <c r="C922" s="68"/>
      <c r="D922" s="68"/>
      <c r="E922" s="68"/>
      <c r="F922" s="354"/>
      <c r="G922" s="354"/>
      <c r="H922" s="354"/>
      <c r="I922" s="354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354"/>
      <c r="Y922" s="925"/>
    </row>
    <row r="923" spans="1:25" ht="24" x14ac:dyDescent="0.55000000000000004">
      <c r="A923" s="68"/>
      <c r="B923" s="68"/>
      <c r="C923" s="68"/>
      <c r="D923" s="68"/>
      <c r="E923" s="68"/>
      <c r="F923" s="354"/>
      <c r="G923" s="354"/>
      <c r="H923" s="354"/>
      <c r="I923" s="354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354"/>
      <c r="Y923" s="925"/>
    </row>
    <row r="924" spans="1:25" ht="24" x14ac:dyDescent="0.55000000000000004">
      <c r="A924" s="68"/>
      <c r="B924" s="68"/>
      <c r="C924" s="68"/>
      <c r="D924" s="68"/>
      <c r="E924" s="68"/>
      <c r="F924" s="354"/>
      <c r="G924" s="354"/>
      <c r="H924" s="354"/>
      <c r="I924" s="354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354"/>
      <c r="Y924" s="925"/>
    </row>
    <row r="925" spans="1:25" ht="24" x14ac:dyDescent="0.55000000000000004">
      <c r="A925" s="68"/>
      <c r="B925" s="68"/>
      <c r="C925" s="68"/>
      <c r="D925" s="68"/>
      <c r="E925" s="68"/>
      <c r="F925" s="354"/>
      <c r="G925" s="354"/>
      <c r="H925" s="354"/>
      <c r="I925" s="354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354"/>
      <c r="Y925" s="925"/>
    </row>
    <row r="926" spans="1:25" ht="24" x14ac:dyDescent="0.55000000000000004">
      <c r="A926" s="68"/>
      <c r="B926" s="68"/>
      <c r="C926" s="68"/>
      <c r="D926" s="68"/>
      <c r="E926" s="68"/>
      <c r="F926" s="354"/>
      <c r="G926" s="354"/>
      <c r="H926" s="354"/>
      <c r="I926" s="354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354"/>
      <c r="Y926" s="925"/>
    </row>
    <row r="927" spans="1:25" ht="24" x14ac:dyDescent="0.55000000000000004">
      <c r="A927" s="68"/>
      <c r="B927" s="68"/>
      <c r="C927" s="68"/>
      <c r="D927" s="68"/>
      <c r="E927" s="68"/>
      <c r="F927" s="354"/>
      <c r="G927" s="354"/>
      <c r="H927" s="354"/>
      <c r="I927" s="354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354"/>
      <c r="Y927" s="925"/>
    </row>
    <row r="928" spans="1:25" ht="24" x14ac:dyDescent="0.55000000000000004">
      <c r="A928" s="68"/>
      <c r="B928" s="68"/>
      <c r="C928" s="68"/>
      <c r="D928" s="68"/>
      <c r="E928" s="68"/>
      <c r="F928" s="354"/>
      <c r="G928" s="354"/>
      <c r="H928" s="354"/>
      <c r="I928" s="354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354"/>
      <c r="Y928" s="925"/>
    </row>
    <row r="929" spans="1:25" ht="24" x14ac:dyDescent="0.55000000000000004">
      <c r="A929" s="68"/>
      <c r="B929" s="68"/>
      <c r="C929" s="68"/>
      <c r="D929" s="68"/>
      <c r="E929" s="68"/>
      <c r="F929" s="354"/>
      <c r="G929" s="354"/>
      <c r="H929" s="354"/>
      <c r="I929" s="354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354"/>
      <c r="Y929" s="925"/>
    </row>
    <row r="930" spans="1:25" ht="24" x14ac:dyDescent="0.55000000000000004">
      <c r="A930" s="68"/>
      <c r="B930" s="68"/>
      <c r="C930" s="68"/>
      <c r="D930" s="68"/>
      <c r="E930" s="68"/>
      <c r="F930" s="354"/>
      <c r="G930" s="354"/>
      <c r="H930" s="354"/>
      <c r="I930" s="354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354"/>
      <c r="Y930" s="925"/>
    </row>
    <row r="931" spans="1:25" ht="24" x14ac:dyDescent="0.55000000000000004">
      <c r="A931" s="68"/>
      <c r="B931" s="68"/>
      <c r="C931" s="68"/>
      <c r="D931" s="68"/>
      <c r="E931" s="68"/>
      <c r="F931" s="354"/>
      <c r="G931" s="354"/>
      <c r="H931" s="354"/>
      <c r="I931" s="354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354"/>
      <c r="Y931" s="925"/>
    </row>
    <row r="932" spans="1:25" ht="24" x14ac:dyDescent="0.55000000000000004">
      <c r="A932" s="68"/>
      <c r="B932" s="68"/>
      <c r="C932" s="68"/>
      <c r="D932" s="68"/>
      <c r="E932" s="68"/>
      <c r="F932" s="354"/>
      <c r="G932" s="354"/>
      <c r="H932" s="354"/>
      <c r="I932" s="354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354"/>
      <c r="Y932" s="925"/>
    </row>
    <row r="933" spans="1:25" ht="24" x14ac:dyDescent="0.55000000000000004">
      <c r="A933" s="68"/>
      <c r="B933" s="68"/>
      <c r="C933" s="68"/>
      <c r="D933" s="68"/>
      <c r="E933" s="68"/>
      <c r="F933" s="354"/>
      <c r="G933" s="354"/>
      <c r="H933" s="354"/>
      <c r="I933" s="354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354"/>
      <c r="Y933" s="925"/>
    </row>
    <row r="934" spans="1:25" ht="24" x14ac:dyDescent="0.55000000000000004">
      <c r="A934" s="68"/>
      <c r="B934" s="68"/>
      <c r="C934" s="68"/>
      <c r="D934" s="68"/>
      <c r="E934" s="68"/>
      <c r="F934" s="354"/>
      <c r="G934" s="354"/>
      <c r="H934" s="354"/>
      <c r="I934" s="354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354"/>
      <c r="Y934" s="925"/>
    </row>
    <row r="935" spans="1:25" ht="24" x14ac:dyDescent="0.55000000000000004">
      <c r="A935" s="68"/>
      <c r="B935" s="68"/>
      <c r="C935" s="68"/>
      <c r="D935" s="68"/>
      <c r="E935" s="68"/>
      <c r="F935" s="354"/>
      <c r="G935" s="354"/>
      <c r="H935" s="354"/>
      <c r="I935" s="354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354"/>
      <c r="Y935" s="925"/>
    </row>
    <row r="936" spans="1:25" ht="24" x14ac:dyDescent="0.55000000000000004">
      <c r="A936" s="68"/>
      <c r="B936" s="68"/>
      <c r="C936" s="68"/>
      <c r="D936" s="68"/>
      <c r="E936" s="68"/>
      <c r="F936" s="354"/>
      <c r="G936" s="354"/>
      <c r="H936" s="354"/>
      <c r="I936" s="354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354"/>
      <c r="Y936" s="925"/>
    </row>
    <row r="937" spans="1:25" ht="24" x14ac:dyDescent="0.55000000000000004">
      <c r="A937" s="68"/>
      <c r="B937" s="68"/>
      <c r="C937" s="68"/>
      <c r="D937" s="68"/>
      <c r="E937" s="68"/>
      <c r="F937" s="354"/>
      <c r="G937" s="354"/>
      <c r="H937" s="354"/>
      <c r="I937" s="354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354"/>
      <c r="Y937" s="925"/>
    </row>
    <row r="938" spans="1:25" ht="24" x14ac:dyDescent="0.55000000000000004">
      <c r="A938" s="68"/>
      <c r="B938" s="68"/>
      <c r="C938" s="68"/>
      <c r="D938" s="68"/>
      <c r="E938" s="68"/>
      <c r="F938" s="354"/>
      <c r="G938" s="354"/>
      <c r="H938" s="354"/>
      <c r="I938" s="354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354"/>
      <c r="Y938" s="925"/>
    </row>
    <row r="939" spans="1:25" ht="24" x14ac:dyDescent="0.55000000000000004">
      <c r="A939" s="68"/>
      <c r="B939" s="68"/>
      <c r="C939" s="68"/>
      <c r="D939" s="68"/>
      <c r="E939" s="68"/>
      <c r="F939" s="354"/>
      <c r="G939" s="354"/>
      <c r="H939" s="354"/>
      <c r="I939" s="354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354"/>
      <c r="Y939" s="925"/>
    </row>
    <row r="940" spans="1:25" ht="24" x14ac:dyDescent="0.55000000000000004">
      <c r="A940" s="68"/>
      <c r="B940" s="68"/>
      <c r="C940" s="68"/>
      <c r="D940" s="68"/>
      <c r="E940" s="68"/>
      <c r="F940" s="354"/>
      <c r="G940" s="354"/>
      <c r="H940" s="354"/>
      <c r="I940" s="354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354"/>
      <c r="Y940" s="925"/>
    </row>
    <row r="941" spans="1:25" ht="24" x14ac:dyDescent="0.55000000000000004">
      <c r="A941" s="68"/>
      <c r="B941" s="68"/>
      <c r="C941" s="68"/>
      <c r="D941" s="68"/>
      <c r="E941" s="68"/>
      <c r="F941" s="354"/>
      <c r="G941" s="354"/>
      <c r="H941" s="354"/>
      <c r="I941" s="354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354"/>
      <c r="Y941" s="925"/>
    </row>
    <row r="942" spans="1:25" ht="24" x14ac:dyDescent="0.55000000000000004">
      <c r="A942" s="68"/>
      <c r="B942" s="68"/>
      <c r="C942" s="68"/>
      <c r="D942" s="68"/>
      <c r="E942" s="68"/>
      <c r="F942" s="354"/>
      <c r="G942" s="354"/>
      <c r="H942" s="354"/>
      <c r="I942" s="354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354"/>
      <c r="Y942" s="925"/>
    </row>
    <row r="943" spans="1:25" ht="24" x14ac:dyDescent="0.55000000000000004">
      <c r="A943" s="68"/>
      <c r="B943" s="68"/>
      <c r="C943" s="68"/>
      <c r="D943" s="68"/>
      <c r="E943" s="68"/>
      <c r="F943" s="354"/>
      <c r="G943" s="354"/>
      <c r="H943" s="354"/>
      <c r="I943" s="354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354"/>
      <c r="Y943" s="925"/>
    </row>
    <row r="944" spans="1:25" ht="24" x14ac:dyDescent="0.55000000000000004">
      <c r="A944" s="68"/>
      <c r="B944" s="68"/>
      <c r="C944" s="68"/>
      <c r="D944" s="68"/>
      <c r="E944" s="68"/>
      <c r="F944" s="354"/>
      <c r="G944" s="354"/>
      <c r="H944" s="354"/>
      <c r="I944" s="354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354"/>
      <c r="Y944" s="925"/>
    </row>
    <row r="945" spans="1:25" ht="24" x14ac:dyDescent="0.55000000000000004">
      <c r="A945" s="68"/>
      <c r="B945" s="68"/>
      <c r="C945" s="68"/>
      <c r="D945" s="68"/>
      <c r="E945" s="68"/>
      <c r="F945" s="354"/>
      <c r="G945" s="354"/>
      <c r="H945" s="354"/>
      <c r="I945" s="354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354"/>
      <c r="Y945" s="925"/>
    </row>
    <row r="946" spans="1:25" ht="24" x14ac:dyDescent="0.55000000000000004">
      <c r="A946" s="68"/>
      <c r="B946" s="68"/>
      <c r="C946" s="68"/>
      <c r="D946" s="68"/>
      <c r="E946" s="68"/>
      <c r="F946" s="354"/>
      <c r="G946" s="354"/>
      <c r="H946" s="354"/>
      <c r="I946" s="354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354"/>
      <c r="Y946" s="925"/>
    </row>
    <row r="947" spans="1:25" ht="24" x14ac:dyDescent="0.55000000000000004">
      <c r="A947" s="68"/>
      <c r="B947" s="68"/>
      <c r="C947" s="68"/>
      <c r="D947" s="68"/>
      <c r="E947" s="68"/>
      <c r="F947" s="354"/>
      <c r="G947" s="354"/>
      <c r="H947" s="354"/>
      <c r="I947" s="354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354"/>
      <c r="Y947" s="925"/>
    </row>
    <row r="948" spans="1:25" ht="24" x14ac:dyDescent="0.55000000000000004">
      <c r="A948" s="68"/>
      <c r="B948" s="68"/>
      <c r="C948" s="68"/>
      <c r="D948" s="68"/>
      <c r="E948" s="68"/>
      <c r="F948" s="354"/>
      <c r="G948" s="354"/>
      <c r="H948" s="354"/>
      <c r="I948" s="354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354"/>
      <c r="Y948" s="925"/>
    </row>
    <row r="949" spans="1:25" ht="24" x14ac:dyDescent="0.55000000000000004">
      <c r="A949" s="68"/>
      <c r="B949" s="68"/>
      <c r="C949" s="68"/>
      <c r="D949" s="68"/>
      <c r="E949" s="68"/>
      <c r="F949" s="354"/>
      <c r="G949" s="354"/>
      <c r="H949" s="354"/>
      <c r="I949" s="354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354"/>
      <c r="Y949" s="925"/>
    </row>
    <row r="950" spans="1:25" ht="24" x14ac:dyDescent="0.55000000000000004">
      <c r="A950" s="68"/>
      <c r="B950" s="68"/>
      <c r="C950" s="68"/>
      <c r="D950" s="68"/>
      <c r="E950" s="68"/>
      <c r="F950" s="354"/>
      <c r="G950" s="354"/>
      <c r="H950" s="354"/>
      <c r="I950" s="354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354"/>
      <c r="Y950" s="925"/>
    </row>
    <row r="951" spans="1:25" ht="24" x14ac:dyDescent="0.55000000000000004">
      <c r="A951" s="68"/>
      <c r="B951" s="68"/>
      <c r="C951" s="68"/>
      <c r="D951" s="68"/>
      <c r="E951" s="68"/>
      <c r="F951" s="354"/>
      <c r="G951" s="354"/>
      <c r="H951" s="354"/>
      <c r="I951" s="354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354"/>
      <c r="Y951" s="925"/>
    </row>
    <row r="952" spans="1:25" ht="24" x14ac:dyDescent="0.55000000000000004">
      <c r="A952" s="68"/>
      <c r="B952" s="68"/>
      <c r="C952" s="68"/>
      <c r="D952" s="68"/>
      <c r="E952" s="68"/>
      <c r="F952" s="354"/>
      <c r="G952" s="354"/>
      <c r="H952" s="354"/>
      <c r="I952" s="354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354"/>
      <c r="Y952" s="925"/>
    </row>
    <row r="953" spans="1:25" ht="24" x14ac:dyDescent="0.55000000000000004">
      <c r="A953" s="68"/>
      <c r="B953" s="68"/>
      <c r="C953" s="68"/>
      <c r="D953" s="68"/>
      <c r="E953" s="68"/>
      <c r="F953" s="354"/>
      <c r="G953" s="354"/>
      <c r="H953" s="354"/>
      <c r="I953" s="354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354"/>
      <c r="Y953" s="925"/>
    </row>
    <row r="954" spans="1:25" ht="24" x14ac:dyDescent="0.55000000000000004">
      <c r="A954" s="68"/>
      <c r="B954" s="68"/>
      <c r="C954" s="68"/>
      <c r="D954" s="68"/>
      <c r="E954" s="68"/>
      <c r="F954" s="354"/>
      <c r="G954" s="354"/>
      <c r="H954" s="354"/>
      <c r="I954" s="354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354"/>
      <c r="Y954" s="925"/>
    </row>
    <row r="955" spans="1:25" ht="24" x14ac:dyDescent="0.55000000000000004">
      <c r="A955" s="68"/>
      <c r="B955" s="68"/>
      <c r="C955" s="68"/>
      <c r="D955" s="68"/>
      <c r="E955" s="68"/>
      <c r="F955" s="354"/>
      <c r="G955" s="354"/>
      <c r="H955" s="354"/>
      <c r="I955" s="354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354"/>
      <c r="Y955" s="925"/>
    </row>
    <row r="956" spans="1:25" ht="24" x14ac:dyDescent="0.55000000000000004">
      <c r="A956" s="68"/>
      <c r="B956" s="68"/>
      <c r="C956" s="68"/>
      <c r="D956" s="68"/>
      <c r="E956" s="68"/>
      <c r="F956" s="354"/>
      <c r="G956" s="354"/>
      <c r="H956" s="354"/>
      <c r="I956" s="354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354"/>
      <c r="Y956" s="925"/>
    </row>
    <row r="957" spans="1:25" ht="24" x14ac:dyDescent="0.55000000000000004">
      <c r="A957" s="68"/>
      <c r="B957" s="68"/>
      <c r="C957" s="68"/>
      <c r="D957" s="68"/>
      <c r="E957" s="68"/>
      <c r="F957" s="354"/>
      <c r="G957" s="354"/>
      <c r="H957" s="354"/>
      <c r="I957" s="354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354"/>
      <c r="Y957" s="925"/>
    </row>
    <row r="958" spans="1:25" ht="24" x14ac:dyDescent="0.55000000000000004">
      <c r="A958" s="68"/>
      <c r="B958" s="68"/>
      <c r="C958" s="68"/>
      <c r="D958" s="68"/>
      <c r="E958" s="68"/>
      <c r="F958" s="354"/>
      <c r="G958" s="354"/>
      <c r="H958" s="354"/>
      <c r="I958" s="354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354"/>
      <c r="Y958" s="925"/>
    </row>
    <row r="959" spans="1:25" ht="24" x14ac:dyDescent="0.55000000000000004">
      <c r="A959" s="68"/>
      <c r="B959" s="68"/>
      <c r="C959" s="68"/>
      <c r="D959" s="68"/>
      <c r="E959" s="68"/>
      <c r="F959" s="354"/>
      <c r="G959" s="354"/>
      <c r="H959" s="354"/>
      <c r="I959" s="354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354"/>
      <c r="Y959" s="925"/>
    </row>
    <row r="960" spans="1:25" ht="24" x14ac:dyDescent="0.55000000000000004">
      <c r="A960" s="68"/>
      <c r="B960" s="68"/>
      <c r="C960" s="68"/>
      <c r="D960" s="68"/>
      <c r="E960" s="68"/>
      <c r="F960" s="354"/>
      <c r="G960" s="354"/>
      <c r="H960" s="354"/>
      <c r="I960" s="354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354"/>
      <c r="Y960" s="925"/>
    </row>
    <row r="961" spans="1:25" ht="24" x14ac:dyDescent="0.55000000000000004">
      <c r="A961" s="68"/>
      <c r="B961" s="68"/>
      <c r="C961" s="68"/>
      <c r="D961" s="68"/>
      <c r="E961" s="68"/>
      <c r="F961" s="354"/>
      <c r="G961" s="354"/>
      <c r="H961" s="354"/>
      <c r="I961" s="354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354"/>
      <c r="Y961" s="925"/>
    </row>
    <row r="962" spans="1:25" ht="24" x14ac:dyDescent="0.55000000000000004">
      <c r="A962" s="68"/>
      <c r="B962" s="68"/>
      <c r="C962" s="68"/>
      <c r="D962" s="68"/>
      <c r="E962" s="68"/>
      <c r="F962" s="354"/>
      <c r="G962" s="354"/>
      <c r="H962" s="354"/>
      <c r="I962" s="354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354"/>
      <c r="Y962" s="925"/>
    </row>
    <row r="963" spans="1:25" ht="24" x14ac:dyDescent="0.55000000000000004">
      <c r="A963" s="68"/>
      <c r="B963" s="68"/>
      <c r="C963" s="68"/>
      <c r="D963" s="68"/>
      <c r="E963" s="68"/>
      <c r="F963" s="354"/>
      <c r="G963" s="354"/>
      <c r="H963" s="354"/>
      <c r="I963" s="354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354"/>
      <c r="Y963" s="925"/>
    </row>
    <row r="964" spans="1:25" ht="24" x14ac:dyDescent="0.55000000000000004">
      <c r="A964" s="68"/>
      <c r="B964" s="68"/>
      <c r="C964" s="68"/>
      <c r="D964" s="68"/>
      <c r="E964" s="68"/>
      <c r="F964" s="354"/>
      <c r="G964" s="354"/>
      <c r="H964" s="354"/>
      <c r="I964" s="354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354"/>
      <c r="Y964" s="925"/>
    </row>
    <row r="965" spans="1:25" ht="24" x14ac:dyDescent="0.55000000000000004">
      <c r="A965" s="68"/>
      <c r="B965" s="68"/>
      <c r="C965" s="68"/>
      <c r="D965" s="68"/>
      <c r="E965" s="68"/>
      <c r="F965" s="354"/>
      <c r="G965" s="354"/>
      <c r="H965" s="354"/>
      <c r="I965" s="354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354"/>
      <c r="Y965" s="925"/>
    </row>
    <row r="966" spans="1:25" ht="24" x14ac:dyDescent="0.55000000000000004">
      <c r="A966" s="68"/>
      <c r="B966" s="68"/>
      <c r="C966" s="68"/>
      <c r="D966" s="68"/>
      <c r="E966" s="68"/>
      <c r="F966" s="354"/>
      <c r="G966" s="354"/>
      <c r="H966" s="354"/>
      <c r="I966" s="354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354"/>
      <c r="Y966" s="925"/>
    </row>
    <row r="967" spans="1:25" ht="24" x14ac:dyDescent="0.55000000000000004">
      <c r="A967" s="68"/>
      <c r="B967" s="68"/>
      <c r="C967" s="68"/>
      <c r="D967" s="68"/>
      <c r="E967" s="68"/>
      <c r="F967" s="354"/>
      <c r="G967" s="354"/>
      <c r="H967" s="354"/>
      <c r="I967" s="354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354"/>
      <c r="Y967" s="925"/>
    </row>
    <row r="968" spans="1:25" ht="24" x14ac:dyDescent="0.55000000000000004">
      <c r="A968" s="68"/>
      <c r="B968" s="68"/>
      <c r="C968" s="68"/>
      <c r="D968" s="68"/>
      <c r="E968" s="68"/>
      <c r="F968" s="354"/>
      <c r="G968" s="354"/>
      <c r="H968" s="354"/>
      <c r="I968" s="354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354"/>
      <c r="Y968" s="925"/>
    </row>
    <row r="969" spans="1:25" ht="24" x14ac:dyDescent="0.55000000000000004">
      <c r="A969" s="68"/>
      <c r="B969" s="68"/>
      <c r="C969" s="68"/>
      <c r="D969" s="68"/>
      <c r="E969" s="68"/>
      <c r="F969" s="354"/>
      <c r="G969" s="354"/>
      <c r="H969" s="354"/>
      <c r="I969" s="354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354"/>
      <c r="Y969" s="925"/>
    </row>
    <row r="970" spans="1:25" ht="24" x14ac:dyDescent="0.55000000000000004">
      <c r="A970" s="68"/>
      <c r="B970" s="68"/>
      <c r="C970" s="68"/>
      <c r="D970" s="68"/>
      <c r="E970" s="68"/>
      <c r="F970" s="354"/>
      <c r="G970" s="354"/>
      <c r="H970" s="354"/>
      <c r="I970" s="354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354"/>
      <c r="Y970" s="925"/>
    </row>
    <row r="971" spans="1:25" ht="24" x14ac:dyDescent="0.55000000000000004">
      <c r="A971" s="68"/>
      <c r="B971" s="68"/>
      <c r="C971" s="68"/>
      <c r="D971" s="68"/>
      <c r="E971" s="68"/>
      <c r="F971" s="354"/>
      <c r="G971" s="354"/>
      <c r="H971" s="354"/>
      <c r="I971" s="354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354"/>
      <c r="Y971" s="925"/>
    </row>
    <row r="972" spans="1:25" ht="24" x14ac:dyDescent="0.55000000000000004">
      <c r="A972" s="68"/>
      <c r="B972" s="68"/>
      <c r="C972" s="68"/>
      <c r="D972" s="68"/>
      <c r="E972" s="68"/>
      <c r="F972" s="354"/>
      <c r="G972" s="354"/>
      <c r="H972" s="354"/>
      <c r="I972" s="354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354"/>
      <c r="Y972" s="925"/>
    </row>
    <row r="973" spans="1:25" ht="24" x14ac:dyDescent="0.55000000000000004">
      <c r="A973" s="68"/>
      <c r="B973" s="68"/>
      <c r="C973" s="68"/>
      <c r="D973" s="68"/>
      <c r="E973" s="68"/>
      <c r="F973" s="354"/>
      <c r="G973" s="354"/>
      <c r="H973" s="354"/>
      <c r="I973" s="354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354"/>
      <c r="Y973" s="925"/>
    </row>
    <row r="974" spans="1:25" ht="24" x14ac:dyDescent="0.55000000000000004">
      <c r="A974" s="68"/>
      <c r="B974" s="68"/>
      <c r="C974" s="68"/>
      <c r="D974" s="68"/>
      <c r="E974" s="68"/>
      <c r="F974" s="354"/>
      <c r="G974" s="354"/>
      <c r="H974" s="354"/>
      <c r="I974" s="354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354"/>
      <c r="Y974" s="925"/>
    </row>
    <row r="975" spans="1:25" ht="24" x14ac:dyDescent="0.55000000000000004">
      <c r="A975" s="68"/>
      <c r="B975" s="68"/>
      <c r="C975" s="68"/>
      <c r="D975" s="68"/>
      <c r="E975" s="68"/>
      <c r="F975" s="354"/>
      <c r="G975" s="354"/>
      <c r="H975" s="354"/>
      <c r="I975" s="354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354"/>
      <c r="Y975" s="925"/>
    </row>
    <row r="976" spans="1:25" ht="24" x14ac:dyDescent="0.55000000000000004">
      <c r="A976" s="68"/>
      <c r="B976" s="68"/>
      <c r="C976" s="68"/>
      <c r="D976" s="68"/>
      <c r="E976" s="68"/>
      <c r="F976" s="354"/>
      <c r="G976" s="354"/>
      <c r="H976" s="354"/>
      <c r="I976" s="354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354"/>
      <c r="Y976" s="925"/>
    </row>
    <row r="977" spans="1:25" ht="24" x14ac:dyDescent="0.55000000000000004">
      <c r="A977" s="68"/>
      <c r="B977" s="68"/>
      <c r="C977" s="68"/>
      <c r="D977" s="68"/>
      <c r="E977" s="68"/>
      <c r="F977" s="354"/>
      <c r="G977" s="354"/>
      <c r="H977" s="354"/>
      <c r="I977" s="354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354"/>
      <c r="Y977" s="925"/>
    </row>
    <row r="978" spans="1:25" ht="24" x14ac:dyDescent="0.55000000000000004">
      <c r="A978" s="68"/>
      <c r="B978" s="68"/>
      <c r="C978" s="68"/>
      <c r="D978" s="68"/>
      <c r="E978" s="68"/>
      <c r="F978" s="354"/>
      <c r="G978" s="354"/>
      <c r="H978" s="354"/>
      <c r="I978" s="354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354"/>
      <c r="Y978" s="925"/>
    </row>
    <row r="979" spans="1:25" ht="24" x14ac:dyDescent="0.55000000000000004">
      <c r="A979" s="68"/>
      <c r="B979" s="68"/>
      <c r="C979" s="68"/>
      <c r="D979" s="68"/>
      <c r="E979" s="68"/>
      <c r="F979" s="354"/>
      <c r="G979" s="354"/>
      <c r="H979" s="354"/>
      <c r="I979" s="354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354"/>
      <c r="Y979" s="925"/>
    </row>
    <row r="980" spans="1:25" ht="24" x14ac:dyDescent="0.55000000000000004">
      <c r="A980" s="68"/>
      <c r="B980" s="68"/>
      <c r="C980" s="68"/>
      <c r="D980" s="68"/>
      <c r="E980" s="68"/>
      <c r="F980" s="354"/>
      <c r="G980" s="354"/>
      <c r="H980" s="354"/>
      <c r="I980" s="354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354"/>
      <c r="Y980" s="925"/>
    </row>
    <row r="981" spans="1:25" ht="24" x14ac:dyDescent="0.55000000000000004">
      <c r="A981" s="68"/>
      <c r="B981" s="68"/>
      <c r="C981" s="68"/>
      <c r="D981" s="68"/>
      <c r="E981" s="68"/>
      <c r="F981" s="354"/>
      <c r="G981" s="354"/>
      <c r="H981" s="354"/>
      <c r="I981" s="354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354"/>
      <c r="Y981" s="925"/>
    </row>
    <row r="982" spans="1:25" ht="24" x14ac:dyDescent="0.55000000000000004">
      <c r="A982" s="68"/>
      <c r="B982" s="68"/>
      <c r="C982" s="68"/>
      <c r="D982" s="68"/>
      <c r="E982" s="68"/>
      <c r="F982" s="354"/>
      <c r="G982" s="354"/>
      <c r="H982" s="354"/>
      <c r="I982" s="354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354"/>
      <c r="Y982" s="925"/>
    </row>
    <row r="983" spans="1:25" ht="24" x14ac:dyDescent="0.55000000000000004">
      <c r="A983" s="68"/>
      <c r="B983" s="68"/>
      <c r="C983" s="68"/>
      <c r="D983" s="68"/>
      <c r="E983" s="68"/>
      <c r="F983" s="354"/>
      <c r="G983" s="354"/>
      <c r="H983" s="354"/>
      <c r="I983" s="354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354"/>
      <c r="Y983" s="925"/>
    </row>
    <row r="984" spans="1:25" ht="24" x14ac:dyDescent="0.55000000000000004">
      <c r="A984" s="68"/>
      <c r="B984" s="68"/>
      <c r="C984" s="68"/>
      <c r="D984" s="68"/>
      <c r="E984" s="68"/>
      <c r="F984" s="354"/>
      <c r="G984" s="354"/>
      <c r="H984" s="354"/>
      <c r="I984" s="354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354"/>
      <c r="Y984" s="925"/>
    </row>
    <row r="985" spans="1:25" ht="24" x14ac:dyDescent="0.55000000000000004">
      <c r="A985" s="68"/>
      <c r="B985" s="68"/>
      <c r="C985" s="68"/>
      <c r="D985" s="68"/>
      <c r="E985" s="68"/>
      <c r="F985" s="354"/>
      <c r="G985" s="354"/>
      <c r="H985" s="354"/>
      <c r="I985" s="354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354"/>
      <c r="Y985" s="925"/>
    </row>
    <row r="986" spans="1:25" ht="24" x14ac:dyDescent="0.55000000000000004">
      <c r="A986" s="68"/>
      <c r="B986" s="68"/>
      <c r="C986" s="68"/>
      <c r="D986" s="68"/>
      <c r="E986" s="68"/>
      <c r="F986" s="354"/>
      <c r="G986" s="354"/>
      <c r="H986" s="354"/>
      <c r="I986" s="354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354"/>
      <c r="Y986" s="925"/>
    </row>
    <row r="987" spans="1:25" ht="24" x14ac:dyDescent="0.55000000000000004">
      <c r="A987" s="68"/>
      <c r="B987" s="68"/>
      <c r="C987" s="68"/>
      <c r="D987" s="68"/>
      <c r="E987" s="68"/>
      <c r="F987" s="354"/>
      <c r="G987" s="354"/>
      <c r="H987" s="354"/>
      <c r="I987" s="354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354"/>
      <c r="Y987" s="925"/>
    </row>
    <row r="988" spans="1:25" ht="24" x14ac:dyDescent="0.55000000000000004">
      <c r="A988" s="68"/>
      <c r="B988" s="68"/>
      <c r="C988" s="68"/>
      <c r="D988" s="68"/>
      <c r="E988" s="68"/>
      <c r="F988" s="354"/>
      <c r="G988" s="354"/>
      <c r="H988" s="354"/>
      <c r="I988" s="354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354"/>
      <c r="Y988" s="925"/>
    </row>
    <row r="989" spans="1:25" ht="24" x14ac:dyDescent="0.55000000000000004">
      <c r="A989" s="68"/>
      <c r="B989" s="68"/>
      <c r="C989" s="68"/>
      <c r="D989" s="68"/>
      <c r="E989" s="68"/>
      <c r="F989" s="354"/>
      <c r="G989" s="354"/>
      <c r="H989" s="354"/>
      <c r="I989" s="354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354"/>
      <c r="Y989" s="925"/>
    </row>
    <row r="990" spans="1:25" ht="24" x14ac:dyDescent="0.55000000000000004">
      <c r="A990" s="68"/>
      <c r="B990" s="68"/>
      <c r="C990" s="68"/>
      <c r="D990" s="68"/>
      <c r="E990" s="68"/>
      <c r="F990" s="354"/>
      <c r="G990" s="354"/>
      <c r="H990" s="354"/>
      <c r="I990" s="354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354"/>
      <c r="Y990" s="925"/>
    </row>
    <row r="991" spans="1:25" ht="24" x14ac:dyDescent="0.55000000000000004">
      <c r="A991" s="68"/>
      <c r="B991" s="68"/>
      <c r="C991" s="68"/>
      <c r="D991" s="68"/>
      <c r="E991" s="68"/>
      <c r="F991" s="354"/>
      <c r="G991" s="354"/>
      <c r="H991" s="354"/>
      <c r="I991" s="354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354"/>
      <c r="Y991" s="925"/>
    </row>
    <row r="992" spans="1:25" ht="24" x14ac:dyDescent="0.55000000000000004">
      <c r="A992" s="68"/>
      <c r="B992" s="68"/>
      <c r="C992" s="68"/>
      <c r="D992" s="68"/>
      <c r="E992" s="68"/>
      <c r="F992" s="354"/>
      <c r="G992" s="354"/>
      <c r="H992" s="354"/>
      <c r="I992" s="354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354"/>
      <c r="Y992" s="925"/>
    </row>
    <row r="993" spans="1:25" ht="24" x14ac:dyDescent="0.55000000000000004">
      <c r="A993" s="68"/>
      <c r="B993" s="68"/>
      <c r="C993" s="68"/>
      <c r="D993" s="68"/>
      <c r="E993" s="68"/>
      <c r="F993" s="354"/>
      <c r="G993" s="354"/>
      <c r="H993" s="354"/>
      <c r="I993" s="354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354"/>
      <c r="Y993" s="925"/>
    </row>
    <row r="994" spans="1:25" ht="24" x14ac:dyDescent="0.55000000000000004">
      <c r="A994" s="68"/>
      <c r="B994" s="68"/>
      <c r="C994" s="68"/>
      <c r="D994" s="68"/>
      <c r="E994" s="68"/>
      <c r="F994" s="354"/>
      <c r="G994" s="354"/>
      <c r="H994" s="354"/>
      <c r="I994" s="354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354"/>
      <c r="Y994" s="925"/>
    </row>
    <row r="995" spans="1:25" ht="24" x14ac:dyDescent="0.55000000000000004">
      <c r="A995" s="68"/>
      <c r="B995" s="68"/>
      <c r="C995" s="68"/>
      <c r="D995" s="68"/>
      <c r="E995" s="68"/>
      <c r="F995" s="354"/>
      <c r="G995" s="354"/>
      <c r="H995" s="354"/>
      <c r="I995" s="354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354"/>
      <c r="Y995" s="925"/>
    </row>
    <row r="996" spans="1:25" ht="24" x14ac:dyDescent="0.55000000000000004">
      <c r="A996" s="68"/>
      <c r="B996" s="68"/>
      <c r="C996" s="68"/>
      <c r="D996" s="68"/>
      <c r="E996" s="68"/>
      <c r="F996" s="354"/>
      <c r="G996" s="354"/>
      <c r="H996" s="354"/>
      <c r="I996" s="354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354"/>
      <c r="Y996" s="925"/>
    </row>
    <row r="997" spans="1:25" ht="24" x14ac:dyDescent="0.55000000000000004">
      <c r="A997" s="68"/>
      <c r="B997" s="68"/>
      <c r="C997" s="68"/>
      <c r="D997" s="68"/>
      <c r="E997" s="68"/>
      <c r="F997" s="354"/>
      <c r="G997" s="354"/>
      <c r="H997" s="354"/>
      <c r="I997" s="354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354"/>
      <c r="Y997" s="925"/>
    </row>
    <row r="998" spans="1:25" ht="24" x14ac:dyDescent="0.55000000000000004">
      <c r="A998" s="68"/>
      <c r="B998" s="68"/>
      <c r="C998" s="68"/>
      <c r="D998" s="68"/>
      <c r="E998" s="68"/>
      <c r="F998" s="354"/>
      <c r="G998" s="354"/>
      <c r="H998" s="354"/>
      <c r="I998" s="354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354"/>
      <c r="Y998" s="925"/>
    </row>
    <row r="999" spans="1:25" ht="24" x14ac:dyDescent="0.55000000000000004">
      <c r="A999" s="68"/>
      <c r="B999" s="68"/>
      <c r="C999" s="68"/>
      <c r="D999" s="68"/>
      <c r="E999" s="68"/>
      <c r="F999" s="354"/>
      <c r="G999" s="354"/>
      <c r="H999" s="354"/>
      <c r="I999" s="354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354"/>
      <c r="Y999" s="925"/>
    </row>
    <row r="1000" spans="1:25" ht="24" x14ac:dyDescent="0.55000000000000004">
      <c r="A1000" s="68"/>
      <c r="B1000" s="68"/>
      <c r="C1000" s="68"/>
      <c r="D1000" s="68"/>
      <c r="E1000" s="68"/>
      <c r="F1000" s="354"/>
      <c r="G1000" s="354"/>
      <c r="H1000" s="354"/>
      <c r="I1000" s="354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354"/>
      <c r="Y1000" s="925"/>
    </row>
    <row r="1001" spans="1:25" ht="24" x14ac:dyDescent="0.55000000000000004">
      <c r="A1001" s="68"/>
      <c r="B1001" s="68"/>
      <c r="C1001" s="68"/>
      <c r="D1001" s="68"/>
      <c r="E1001" s="68"/>
      <c r="F1001" s="354"/>
      <c r="G1001" s="354"/>
      <c r="H1001" s="354"/>
      <c r="I1001" s="354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  <c r="U1001" s="68"/>
      <c r="V1001" s="68"/>
      <c r="W1001" s="68"/>
      <c r="X1001" s="354"/>
      <c r="Y1001" s="925"/>
    </row>
    <row r="1002" spans="1:25" ht="24" x14ac:dyDescent="0.55000000000000004">
      <c r="A1002" s="68"/>
      <c r="B1002" s="68"/>
      <c r="C1002" s="68"/>
      <c r="D1002" s="68"/>
      <c r="E1002" s="68"/>
      <c r="F1002" s="354"/>
      <c r="G1002" s="354"/>
      <c r="H1002" s="354"/>
      <c r="I1002" s="354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  <c r="U1002" s="68"/>
      <c r="V1002" s="68"/>
      <c r="W1002" s="68"/>
      <c r="X1002" s="354"/>
      <c r="Y1002" s="925"/>
    </row>
  </sheetData>
  <mergeCells count="29">
    <mergeCell ref="E95:Y95"/>
    <mergeCell ref="E96:Y96"/>
    <mergeCell ref="E90:Y90"/>
    <mergeCell ref="E91:Y91"/>
    <mergeCell ref="E92:Y92"/>
    <mergeCell ref="E93:Y93"/>
    <mergeCell ref="E94:Y94"/>
    <mergeCell ref="A1:Y1"/>
    <mergeCell ref="A2:Y2"/>
    <mergeCell ref="A3:Y3"/>
    <mergeCell ref="R5:R6"/>
    <mergeCell ref="B5:E6"/>
    <mergeCell ref="F5:H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Y5:Y6"/>
    <mergeCell ref="S5:S6"/>
    <mergeCell ref="T5:T6"/>
    <mergeCell ref="U5:U6"/>
    <mergeCell ref="V5:V6"/>
    <mergeCell ref="W5:W6"/>
    <mergeCell ref="X5:X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0" sqref="F50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7" workbookViewId="0">
      <selection activeCell="F38" sqref="F38"/>
    </sheetView>
  </sheetViews>
  <sheetFormatPr defaultColWidth="9" defaultRowHeight="12.75" x14ac:dyDescent="0.2"/>
  <cols>
    <col min="1" max="1" width="41.85546875" customWidth="1"/>
    <col min="2" max="2" width="20.7109375" customWidth="1"/>
    <col min="3" max="3" width="18.85546875" customWidth="1"/>
    <col min="4" max="4" width="15.28515625" customWidth="1"/>
    <col min="5" max="5" width="14.140625" customWidth="1"/>
    <col min="6" max="6" width="15.28515625" customWidth="1"/>
    <col min="7" max="7" width="13.28515625" customWidth="1"/>
    <col min="8" max="8" width="16.85546875" bestFit="1" customWidth="1"/>
    <col min="9" max="9" width="14.28515625" bestFit="1" customWidth="1"/>
  </cols>
  <sheetData>
    <row r="1" spans="1:9" ht="15.75" customHeight="1" x14ac:dyDescent="0.2">
      <c r="A1" s="201"/>
      <c r="B1" s="202"/>
      <c r="C1" s="202"/>
      <c r="D1" s="203" t="s">
        <v>278</v>
      </c>
      <c r="E1" s="201"/>
      <c r="F1" s="201"/>
      <c r="G1" s="201"/>
      <c r="H1" s="204"/>
      <c r="I1" s="201"/>
    </row>
    <row r="2" spans="1:9" ht="23.25" x14ac:dyDescent="0.2">
      <c r="A2" s="712" t="s">
        <v>279</v>
      </c>
      <c r="B2" s="712"/>
      <c r="C2" s="712"/>
      <c r="D2" s="712"/>
      <c r="E2" s="201"/>
      <c r="F2" s="201"/>
      <c r="G2" s="201"/>
      <c r="H2" s="204"/>
      <c r="I2" s="201"/>
    </row>
    <row r="3" spans="1:9" ht="23.25" x14ac:dyDescent="0.2">
      <c r="A3" s="712" t="s">
        <v>280</v>
      </c>
      <c r="B3" s="712"/>
      <c r="C3" s="712"/>
      <c r="D3" s="712"/>
      <c r="E3" s="201"/>
      <c r="F3" s="201"/>
      <c r="G3" s="201"/>
      <c r="H3" s="204"/>
      <c r="I3" s="201"/>
    </row>
    <row r="4" spans="1:9" ht="23.25" x14ac:dyDescent="0.2">
      <c r="A4" s="712" t="s">
        <v>281</v>
      </c>
      <c r="B4" s="712"/>
      <c r="C4" s="712"/>
      <c r="D4" s="712"/>
      <c r="E4" s="201"/>
      <c r="F4" s="201"/>
      <c r="G4" s="201"/>
      <c r="H4" s="204"/>
      <c r="I4" s="201"/>
    </row>
    <row r="5" spans="1:9" ht="23.25" x14ac:dyDescent="0.2">
      <c r="A5" s="712" t="s">
        <v>282</v>
      </c>
      <c r="B5" s="712"/>
      <c r="C5" s="712"/>
      <c r="D5" s="712"/>
      <c r="E5" s="201"/>
      <c r="F5" s="201"/>
      <c r="G5" s="201"/>
      <c r="H5" s="204"/>
      <c r="I5" s="201"/>
    </row>
    <row r="6" spans="1:9" ht="23.25" x14ac:dyDescent="0.2">
      <c r="A6" s="712" t="s">
        <v>283</v>
      </c>
      <c r="B6" s="712"/>
      <c r="C6" s="712"/>
      <c r="D6" s="712"/>
      <c r="E6" s="201"/>
      <c r="F6" s="201"/>
      <c r="G6" s="201"/>
      <c r="H6" s="204"/>
      <c r="I6" s="201"/>
    </row>
    <row r="7" spans="1:9" ht="23.25" x14ac:dyDescent="0.2">
      <c r="A7" s="711" t="s">
        <v>284</v>
      </c>
      <c r="B7" s="711"/>
      <c r="C7" s="711"/>
      <c r="D7" s="711"/>
      <c r="E7" s="201"/>
      <c r="F7" s="201"/>
      <c r="G7" s="201"/>
      <c r="H7" s="204"/>
      <c r="I7" s="201"/>
    </row>
    <row r="8" spans="1:9" ht="23.25" x14ac:dyDescent="0.2">
      <c r="A8" s="205"/>
      <c r="B8" s="206" t="s">
        <v>285</v>
      </c>
      <c r="C8" s="206" t="s">
        <v>286</v>
      </c>
      <c r="D8" s="207" t="s">
        <v>287</v>
      </c>
      <c r="E8" s="208" t="s">
        <v>288</v>
      </c>
      <c r="F8" s="209" t="s">
        <v>289</v>
      </c>
      <c r="G8" s="201"/>
      <c r="H8" s="204"/>
      <c r="I8" s="201"/>
    </row>
    <row r="9" spans="1:9" ht="23.25" x14ac:dyDescent="0.2">
      <c r="A9" s="210" t="s">
        <v>290</v>
      </c>
      <c r="B9" s="211"/>
      <c r="C9" s="211"/>
      <c r="D9" s="212"/>
      <c r="E9" s="201"/>
      <c r="F9" s="205"/>
      <c r="G9" s="201"/>
      <c r="H9" s="204"/>
      <c r="I9" s="201"/>
    </row>
    <row r="10" spans="1:9" ht="23.25" x14ac:dyDescent="0.2">
      <c r="A10" s="213" t="s">
        <v>291</v>
      </c>
      <c r="B10" s="211">
        <v>0</v>
      </c>
      <c r="C10" s="211">
        <v>0</v>
      </c>
      <c r="D10" s="214"/>
      <c r="E10" s="201"/>
      <c r="F10" s="211">
        <f>SUM(C10-B10)</f>
        <v>0</v>
      </c>
      <c r="G10" s="201"/>
      <c r="H10" s="201"/>
      <c r="I10" s="201"/>
    </row>
    <row r="11" spans="1:9" ht="23.25" x14ac:dyDescent="0.2">
      <c r="A11" s="213" t="s">
        <v>292</v>
      </c>
      <c r="B11" s="211">
        <v>136043511.55000001</v>
      </c>
      <c r="C11" s="211">
        <f>627488.39+208501243.41+914440</f>
        <v>210043171.79999998</v>
      </c>
      <c r="D11" s="215">
        <f>+F11/B11</f>
        <v>0.54394112153450924</v>
      </c>
      <c r="E11" s="204"/>
      <c r="F11" s="211">
        <f>SUM(C11-B11)</f>
        <v>73999660.24999997</v>
      </c>
      <c r="G11" s="204"/>
      <c r="H11" s="204"/>
      <c r="I11" s="204"/>
    </row>
    <row r="12" spans="1:9" ht="23.25" x14ac:dyDescent="0.2">
      <c r="A12" s="213" t="s">
        <v>293</v>
      </c>
      <c r="B12" s="211">
        <v>101369.62</v>
      </c>
      <c r="C12" s="211">
        <f>2911.6+163733.44</f>
        <v>166645.04</v>
      </c>
      <c r="D12" s="215">
        <f>+F12/B12</f>
        <v>0.64393474100031167</v>
      </c>
      <c r="E12" s="204"/>
      <c r="F12" s="211">
        <f t="shared" ref="F12:F41" si="0">SUM(C12-B12)</f>
        <v>65275.420000000013</v>
      </c>
      <c r="G12" s="204"/>
      <c r="H12" s="204"/>
      <c r="I12" s="204"/>
    </row>
    <row r="13" spans="1:9" ht="24" thickBot="1" x14ac:dyDescent="0.25">
      <c r="A13" s="213" t="s">
        <v>294</v>
      </c>
      <c r="B13" s="216">
        <v>6003671.6500000004</v>
      </c>
      <c r="C13" s="216">
        <v>10215313.33</v>
      </c>
      <c r="D13" s="217">
        <f>+F13/B13</f>
        <v>0.70151099619180535</v>
      </c>
      <c r="E13" s="204"/>
      <c r="F13" s="211">
        <f t="shared" si="0"/>
        <v>4211641.68</v>
      </c>
      <c r="G13" s="204"/>
      <c r="H13" s="204"/>
      <c r="I13" s="204"/>
    </row>
    <row r="14" spans="1:9" ht="24" thickBot="1" x14ac:dyDescent="0.25">
      <c r="A14" s="222" t="s">
        <v>295</v>
      </c>
      <c r="B14" s="223">
        <f>SUM(B9:B13)</f>
        <v>142148552.82000002</v>
      </c>
      <c r="C14" s="223">
        <f>SUM(C9:C13)</f>
        <v>220425130.16999999</v>
      </c>
      <c r="D14" s="219">
        <f>+F14/B14</f>
        <v>0.55066742360099918</v>
      </c>
      <c r="E14" s="201"/>
      <c r="F14" s="211">
        <f>SUM(C14-B14)</f>
        <v>78276577.349999964</v>
      </c>
      <c r="G14" s="204"/>
      <c r="H14" s="204"/>
      <c r="I14" s="204"/>
    </row>
    <row r="15" spans="1:9" ht="23.25" x14ac:dyDescent="0.2">
      <c r="A15" s="210" t="s">
        <v>296</v>
      </c>
      <c r="B15" s="220"/>
      <c r="C15" s="220"/>
      <c r="D15" s="221"/>
      <c r="E15" s="201"/>
      <c r="F15" s="211">
        <f t="shared" si="0"/>
        <v>0</v>
      </c>
      <c r="G15" s="201"/>
      <c r="H15" s="204"/>
      <c r="I15" s="201"/>
    </row>
    <row r="16" spans="1:9" ht="23.25" x14ac:dyDescent="0.2">
      <c r="A16" s="213" t="s">
        <v>297</v>
      </c>
      <c r="B16" s="211">
        <v>37119624.170000002</v>
      </c>
      <c r="C16" s="211">
        <v>41049221.789999999</v>
      </c>
      <c r="D16" s="212">
        <f t="shared" ref="D16:D41" si="1">+F16/B16</f>
        <v>0.10586307668427014</v>
      </c>
      <c r="E16" s="204"/>
      <c r="F16" s="211">
        <f t="shared" si="0"/>
        <v>3929597.6199999973</v>
      </c>
      <c r="G16" s="204"/>
      <c r="H16" s="204"/>
      <c r="I16" s="204"/>
    </row>
    <row r="17" spans="1:9" ht="23.25" x14ac:dyDescent="0.2">
      <c r="A17" s="213" t="s">
        <v>298</v>
      </c>
      <c r="B17" s="211">
        <v>56095734.030000001</v>
      </c>
      <c r="C17" s="211">
        <v>97242835.870000005</v>
      </c>
      <c r="D17" s="212">
        <f t="shared" si="1"/>
        <v>0.73351570402830513</v>
      </c>
      <c r="E17" s="204"/>
      <c r="F17" s="211">
        <f t="shared" si="0"/>
        <v>41147101.840000004</v>
      </c>
      <c r="G17" s="204"/>
      <c r="H17" s="204"/>
      <c r="I17" s="204"/>
    </row>
    <row r="18" spans="1:9" ht="23.25" x14ac:dyDescent="0.2">
      <c r="A18" s="213" t="s">
        <v>299</v>
      </c>
      <c r="B18" s="211">
        <v>5393874</v>
      </c>
      <c r="C18" s="211">
        <v>5350426.5</v>
      </c>
      <c r="D18" s="212">
        <f t="shared" si="1"/>
        <v>-8.0549712507188703E-3</v>
      </c>
      <c r="E18" s="204"/>
      <c r="F18" s="211">
        <f t="shared" si="0"/>
        <v>-43447.5</v>
      </c>
      <c r="G18" s="204"/>
      <c r="H18" s="204"/>
      <c r="I18" s="204"/>
    </row>
    <row r="19" spans="1:9" ht="23.25" x14ac:dyDescent="0.2">
      <c r="A19" s="213" t="s">
        <v>300</v>
      </c>
      <c r="B19" s="211">
        <v>9407646</v>
      </c>
      <c r="C19" s="211">
        <f>770158+4146642</f>
        <v>4916800</v>
      </c>
      <c r="D19" s="212">
        <f t="shared" si="1"/>
        <v>-0.47736128676610495</v>
      </c>
      <c r="E19" s="204"/>
      <c r="F19" s="211">
        <f t="shared" si="0"/>
        <v>-4490846</v>
      </c>
      <c r="G19" s="204"/>
      <c r="H19" s="204"/>
      <c r="I19" s="204"/>
    </row>
    <row r="20" spans="1:9" ht="24" thickBot="1" x14ac:dyDescent="0.25">
      <c r="A20" s="213" t="s">
        <v>301</v>
      </c>
      <c r="B20" s="216">
        <v>30779869.559999999</v>
      </c>
      <c r="C20" s="216">
        <v>23416098.870000001</v>
      </c>
      <c r="D20" s="217">
        <f t="shared" si="1"/>
        <v>-0.23923982769470833</v>
      </c>
      <c r="E20" s="204"/>
      <c r="F20" s="211">
        <f t="shared" si="0"/>
        <v>-7363770.6899999976</v>
      </c>
      <c r="G20" s="204"/>
      <c r="H20" s="204"/>
      <c r="I20" s="204"/>
    </row>
    <row r="21" spans="1:9" ht="24" thickBot="1" x14ac:dyDescent="0.25">
      <c r="A21" s="222" t="s">
        <v>302</v>
      </c>
      <c r="B21" s="223">
        <f>SUM(B16:B20)</f>
        <v>138796747.75999999</v>
      </c>
      <c r="C21" s="223">
        <f>SUM(C16:C20)</f>
        <v>171975383.03</v>
      </c>
      <c r="D21" s="224">
        <f t="shared" si="1"/>
        <v>0.23904476009315978</v>
      </c>
      <c r="E21" s="201"/>
      <c r="F21" s="211">
        <f t="shared" si="0"/>
        <v>33178635.270000011</v>
      </c>
      <c r="G21" s="204"/>
      <c r="H21" s="204"/>
      <c r="I21" s="204"/>
    </row>
    <row r="22" spans="1:9" ht="24" thickBot="1" x14ac:dyDescent="0.25">
      <c r="A22" s="210" t="s">
        <v>303</v>
      </c>
      <c r="B22" s="220">
        <f>+B14-B21</f>
        <v>3351805.0600000322</v>
      </c>
      <c r="C22" s="225">
        <f>+C14-C21</f>
        <v>48449747.139999986</v>
      </c>
      <c r="D22" s="224">
        <f t="shared" si="1"/>
        <v>15.454822483023378</v>
      </c>
      <c r="E22" s="227"/>
      <c r="F22" s="228">
        <f>SUM(C22+B22)</f>
        <v>51801552.200000018</v>
      </c>
      <c r="G22" s="204"/>
      <c r="H22" s="204"/>
      <c r="I22" s="204"/>
    </row>
    <row r="23" spans="1:9" ht="24" hidden="1" thickBot="1" x14ac:dyDescent="0.25">
      <c r="A23" s="210" t="s">
        <v>304</v>
      </c>
      <c r="B23" s="229">
        <v>0</v>
      </c>
      <c r="C23" s="230"/>
      <c r="D23" s="224" t="e">
        <f t="shared" si="1"/>
        <v>#DIV/0!</v>
      </c>
      <c r="E23" s="227"/>
      <c r="F23" s="211">
        <f t="shared" si="0"/>
        <v>0</v>
      </c>
      <c r="G23" s="204"/>
      <c r="H23" s="204"/>
      <c r="I23" s="204"/>
    </row>
    <row r="24" spans="1:9" ht="24" hidden="1" thickBot="1" x14ac:dyDescent="0.25">
      <c r="A24" s="210" t="s">
        <v>305</v>
      </c>
      <c r="B24" s="220">
        <f>+B22-B23</f>
        <v>3351805.0600000322</v>
      </c>
      <c r="C24" s="225">
        <f>+C22-C23</f>
        <v>48449747.139999986</v>
      </c>
      <c r="D24" s="224">
        <f t="shared" si="1"/>
        <v>15.454822483023378</v>
      </c>
      <c r="E24" s="227"/>
      <c r="F24" s="211">
        <f>SUM(C24+B24)</f>
        <v>51801552.200000018</v>
      </c>
      <c r="G24" s="204"/>
      <c r="H24" s="204"/>
      <c r="I24" s="204"/>
    </row>
    <row r="25" spans="1:9" ht="24" thickBot="1" x14ac:dyDescent="0.25">
      <c r="A25" s="213" t="s">
        <v>306</v>
      </c>
      <c r="B25" s="231">
        <v>22515926.02</v>
      </c>
      <c r="C25" s="231">
        <f>+B26</f>
        <v>25867731.080000032</v>
      </c>
      <c r="D25" s="232">
        <f t="shared" si="1"/>
        <v>0.14886374457895968</v>
      </c>
      <c r="E25" s="227"/>
      <c r="F25" s="211">
        <f t="shared" si="0"/>
        <v>3351805.0600000322</v>
      </c>
      <c r="G25" s="204"/>
      <c r="H25" s="204"/>
      <c r="I25" s="204"/>
    </row>
    <row r="26" spans="1:9" ht="23.25" x14ac:dyDescent="0.2">
      <c r="A26" s="218" t="s">
        <v>307</v>
      </c>
      <c r="B26" s="243">
        <f>+B24+B25</f>
        <v>25867731.080000032</v>
      </c>
      <c r="C26" s="243">
        <f>+C24+C25</f>
        <v>74317478.220000014</v>
      </c>
      <c r="D26" s="226">
        <f t="shared" si="1"/>
        <v>1.8729801616601593</v>
      </c>
      <c r="E26" s="227"/>
      <c r="F26" s="211">
        <f t="shared" si="0"/>
        <v>48449747.139999986</v>
      </c>
      <c r="G26" s="204"/>
      <c r="H26" s="204"/>
      <c r="I26" s="204"/>
    </row>
    <row r="27" spans="1:9" ht="24" thickBot="1" x14ac:dyDescent="0.25">
      <c r="A27" s="213" t="s">
        <v>308</v>
      </c>
      <c r="B27" s="233">
        <v>35384756.600000001</v>
      </c>
      <c r="C27" s="231">
        <v>29114826.550000001</v>
      </c>
      <c r="D27" s="232">
        <f t="shared" si="1"/>
        <v>-0.17719296817206312</v>
      </c>
      <c r="E27" s="227"/>
      <c r="F27" s="211">
        <f t="shared" si="0"/>
        <v>-6269930.0500000007</v>
      </c>
      <c r="G27" s="204"/>
      <c r="H27" s="204"/>
      <c r="I27" s="204"/>
    </row>
    <row r="28" spans="1:9" ht="24" thickBot="1" x14ac:dyDescent="0.25">
      <c r="A28" s="234" t="s">
        <v>309</v>
      </c>
      <c r="B28" s="235">
        <f>+B26-B27</f>
        <v>-9517025.5199999698</v>
      </c>
      <c r="C28" s="235">
        <f>+C26-C27</f>
        <v>45202651.670000017</v>
      </c>
      <c r="D28" s="236">
        <f t="shared" si="1"/>
        <v>-5.7496617062764956</v>
      </c>
      <c r="E28" s="227"/>
      <c r="F28" s="211">
        <f t="shared" si="0"/>
        <v>54719677.189999983</v>
      </c>
      <c r="G28" s="204"/>
      <c r="H28" s="204"/>
      <c r="I28" s="204"/>
    </row>
    <row r="29" spans="1:9" ht="24" thickTop="1" x14ac:dyDescent="0.2">
      <c r="A29" s="213" t="s">
        <v>310</v>
      </c>
      <c r="B29" s="220"/>
      <c r="C29" s="220"/>
      <c r="D29" s="221"/>
      <c r="E29" s="201"/>
      <c r="F29" s="211">
        <f t="shared" si="0"/>
        <v>0</v>
      </c>
      <c r="G29" s="204"/>
      <c r="H29" s="204"/>
      <c r="I29" s="204"/>
    </row>
    <row r="30" spans="1:9" ht="23.25" x14ac:dyDescent="0.2">
      <c r="A30" s="205" t="s">
        <v>311</v>
      </c>
      <c r="B30" s="211">
        <v>0</v>
      </c>
      <c r="C30" s="211">
        <v>0</v>
      </c>
      <c r="D30" s="212"/>
      <c r="E30" s="201"/>
      <c r="F30" s="211">
        <f t="shared" si="0"/>
        <v>0</v>
      </c>
      <c r="G30" s="204"/>
      <c r="H30" s="204"/>
      <c r="I30" s="204"/>
    </row>
    <row r="31" spans="1:9" ht="23.25" x14ac:dyDescent="0.2">
      <c r="A31" s="205" t="s">
        <v>312</v>
      </c>
      <c r="B31" s="211">
        <v>1413687</v>
      </c>
      <c r="C31" s="211">
        <f>130000+1129253.5</f>
        <v>1259253.5</v>
      </c>
      <c r="D31" s="215">
        <f t="shared" si="1"/>
        <v>-0.10924164967209857</v>
      </c>
      <c r="E31" s="201"/>
      <c r="F31" s="211">
        <f t="shared" si="0"/>
        <v>-154433.5</v>
      </c>
      <c r="G31" s="204"/>
      <c r="H31" s="204"/>
      <c r="I31" s="204"/>
    </row>
    <row r="32" spans="1:9" ht="23.25" x14ac:dyDescent="0.2">
      <c r="A32" s="205" t="s">
        <v>313</v>
      </c>
      <c r="B32" s="211"/>
      <c r="C32" s="211"/>
      <c r="D32" s="212"/>
      <c r="E32" s="201"/>
      <c r="F32" s="211">
        <f t="shared" si="0"/>
        <v>0</v>
      </c>
      <c r="G32" s="204"/>
      <c r="H32" s="204"/>
      <c r="I32" s="204"/>
    </row>
    <row r="33" spans="1:9" ht="23.25" x14ac:dyDescent="0.2">
      <c r="A33" s="205" t="s">
        <v>314</v>
      </c>
      <c r="B33" s="211"/>
      <c r="C33" s="211"/>
      <c r="D33" s="212"/>
      <c r="E33" s="201"/>
      <c r="F33" s="211">
        <f t="shared" si="0"/>
        <v>0</v>
      </c>
      <c r="G33" s="204"/>
      <c r="H33" s="204"/>
      <c r="I33" s="204"/>
    </row>
    <row r="34" spans="1:9" ht="23.25" x14ac:dyDescent="0.2">
      <c r="A34" s="205" t="s">
        <v>315</v>
      </c>
      <c r="B34" s="211"/>
      <c r="C34" s="211"/>
      <c r="D34" s="212"/>
      <c r="E34" s="201"/>
      <c r="F34" s="211">
        <f t="shared" si="0"/>
        <v>0</v>
      </c>
      <c r="G34" s="204"/>
      <c r="H34" s="204"/>
      <c r="I34" s="204"/>
    </row>
    <row r="35" spans="1:9" ht="23.25" x14ac:dyDescent="0.2">
      <c r="A35" s="205" t="s">
        <v>316</v>
      </c>
      <c r="B35" s="211"/>
      <c r="C35" s="211"/>
      <c r="D35" s="212"/>
      <c r="E35" s="201"/>
      <c r="F35" s="211">
        <f t="shared" si="0"/>
        <v>0</v>
      </c>
      <c r="G35" s="204"/>
      <c r="H35" s="204"/>
      <c r="I35" s="204"/>
    </row>
    <row r="36" spans="1:9" ht="23.25" x14ac:dyDescent="0.2">
      <c r="A36" s="205" t="s">
        <v>317</v>
      </c>
      <c r="B36" s="211"/>
      <c r="C36" s="211"/>
      <c r="D36" s="212"/>
      <c r="E36" s="201"/>
      <c r="F36" s="211">
        <f t="shared" si="0"/>
        <v>0</v>
      </c>
      <c r="G36" s="204"/>
      <c r="H36" s="204"/>
      <c r="I36" s="204"/>
    </row>
    <row r="37" spans="1:9" ht="23.25" x14ac:dyDescent="0.2">
      <c r="A37" s="205" t="s">
        <v>318</v>
      </c>
      <c r="B37" s="211"/>
      <c r="C37" s="211"/>
      <c r="D37" s="212"/>
      <c r="E37" s="201"/>
      <c r="F37" s="211">
        <f t="shared" si="0"/>
        <v>0</v>
      </c>
      <c r="G37" s="204"/>
      <c r="H37" s="204"/>
      <c r="I37" s="204"/>
    </row>
    <row r="38" spans="1:9" ht="24" thickBot="1" x14ac:dyDescent="0.25">
      <c r="A38" s="205" t="s">
        <v>319</v>
      </c>
      <c r="B38" s="231">
        <v>24454044.079999998</v>
      </c>
      <c r="C38" s="231">
        <f>910758.12+73197982.73</f>
        <v>74108740.850000009</v>
      </c>
      <c r="D38" s="237">
        <f t="shared" si="1"/>
        <v>2.0305310895636537</v>
      </c>
      <c r="E38" s="201"/>
      <c r="F38" s="211">
        <f t="shared" si="0"/>
        <v>49654696.770000011</v>
      </c>
      <c r="G38" s="204"/>
      <c r="H38" s="204"/>
      <c r="I38" s="204"/>
    </row>
    <row r="39" spans="1:9" ht="24" thickBot="1" x14ac:dyDescent="0.25">
      <c r="A39" s="205" t="s">
        <v>320</v>
      </c>
      <c r="B39" s="238"/>
      <c r="C39" s="238"/>
      <c r="D39" s="239"/>
      <c r="E39" s="201"/>
      <c r="F39" s="211">
        <f t="shared" si="0"/>
        <v>0</v>
      </c>
      <c r="G39" s="204"/>
      <c r="H39" s="204"/>
      <c r="I39" s="204"/>
    </row>
    <row r="40" spans="1:9" ht="24" thickBot="1" x14ac:dyDescent="0.25">
      <c r="A40" s="205" t="s">
        <v>321</v>
      </c>
      <c r="B40" s="240">
        <f>SUM(B31:B39)</f>
        <v>25867731.079999998</v>
      </c>
      <c r="C40" s="240">
        <f>SUM(C31:C39)</f>
        <v>75367994.350000009</v>
      </c>
      <c r="D40" s="219">
        <f>+F40/B40</f>
        <v>1.9135912274993394</v>
      </c>
      <c r="E40" s="201"/>
      <c r="F40" s="211">
        <f t="shared" si="0"/>
        <v>49500263.270000011</v>
      </c>
      <c r="G40" s="201"/>
      <c r="H40" s="204"/>
      <c r="I40" s="201"/>
    </row>
    <row r="41" spans="1:9" ht="24" thickBot="1" x14ac:dyDescent="0.25">
      <c r="A41" s="241" t="s">
        <v>322</v>
      </c>
      <c r="B41" s="235">
        <f>+B40+B30</f>
        <v>25867731.079999998</v>
      </c>
      <c r="C41" s="235">
        <f>+C40+C30</f>
        <v>75367994.350000009</v>
      </c>
      <c r="D41" s="236">
        <f t="shared" si="1"/>
        <v>1.9135912274993394</v>
      </c>
      <c r="E41" s="201"/>
      <c r="F41" s="211">
        <f t="shared" si="0"/>
        <v>49500263.270000011</v>
      </c>
      <c r="G41" s="201"/>
      <c r="H41" s="204"/>
      <c r="I41" s="201"/>
    </row>
    <row r="42" spans="1:9" ht="24" thickTop="1" x14ac:dyDescent="0.2">
      <c r="A42" s="201"/>
      <c r="B42" s="202"/>
      <c r="C42" s="202"/>
      <c r="D42" s="242"/>
      <c r="E42" s="201"/>
      <c r="F42" s="201"/>
      <c r="G42" s="201"/>
      <c r="H42" s="204"/>
      <c r="I42" s="201"/>
    </row>
    <row r="43" spans="1:9" ht="23.25" hidden="1" x14ac:dyDescent="0.2">
      <c r="A43" s="201" t="s">
        <v>323</v>
      </c>
      <c r="B43" s="202">
        <v>1497030930.75</v>
      </c>
      <c r="C43" s="202">
        <v>1425912043.4000001</v>
      </c>
      <c r="D43" s="202"/>
      <c r="E43" s="201"/>
      <c r="F43" s="201"/>
      <c r="G43" s="201"/>
      <c r="H43" s="204"/>
      <c r="I43" s="201"/>
    </row>
    <row r="44" spans="1:9" ht="23.25" hidden="1" x14ac:dyDescent="0.2">
      <c r="A44" s="201"/>
      <c r="B44" s="202">
        <f>+B43-B41</f>
        <v>1471163199.6700001</v>
      </c>
      <c r="C44" s="202">
        <f>+C43-C41</f>
        <v>1350544049.0500002</v>
      </c>
      <c r="D44" s="242"/>
      <c r="E44" s="201"/>
      <c r="F44" s="201"/>
      <c r="G44" s="201"/>
      <c r="H44" s="204"/>
      <c r="I44" s="201"/>
    </row>
    <row r="45" spans="1:9" ht="23.25" hidden="1" x14ac:dyDescent="0.2">
      <c r="A45" s="201"/>
      <c r="B45" s="202">
        <f>+B41-B26</f>
        <v>-3.3527612686157227E-8</v>
      </c>
      <c r="C45" s="202">
        <f>+C41-C26</f>
        <v>1050516.1299999952</v>
      </c>
      <c r="D45" s="242"/>
      <c r="E45" s="201"/>
      <c r="F45" s="201"/>
      <c r="G45" s="201"/>
      <c r="H45" s="204"/>
      <c r="I45" s="201"/>
    </row>
    <row r="46" spans="1:9" ht="23.25" hidden="1" x14ac:dyDescent="0.2">
      <c r="A46" s="201"/>
      <c r="B46" s="202"/>
      <c r="C46" s="202"/>
      <c r="D46" s="242"/>
      <c r="E46" s="201"/>
      <c r="F46" s="201"/>
      <c r="G46" s="201"/>
      <c r="H46" s="204"/>
      <c r="I46" s="201"/>
    </row>
    <row r="47" spans="1:9" ht="23.25" hidden="1" x14ac:dyDescent="0.2">
      <c r="A47" s="201"/>
      <c r="B47" s="202"/>
      <c r="C47" s="202"/>
      <c r="D47" s="242"/>
      <c r="E47" s="201"/>
      <c r="F47" s="201"/>
      <c r="G47" s="201"/>
      <c r="H47" s="204"/>
      <c r="I47" s="201"/>
    </row>
    <row r="48" spans="1:9" ht="23.25" x14ac:dyDescent="0.2">
      <c r="A48" s="201"/>
      <c r="B48" s="202"/>
      <c r="C48" s="202"/>
      <c r="D48" s="242"/>
      <c r="E48" s="201"/>
      <c r="F48" s="201"/>
      <c r="G48" s="201"/>
      <c r="H48" s="204"/>
      <c r="I48" s="201"/>
    </row>
  </sheetData>
  <mergeCells count="6">
    <mergeCell ref="A7:D7"/>
    <mergeCell ref="A2:D2"/>
    <mergeCell ref="A3:D3"/>
    <mergeCell ref="A4:D4"/>
    <mergeCell ref="A5:D5"/>
    <mergeCell ref="A6:D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workbookViewId="0">
      <pane xSplit="2" ySplit="3" topLeftCell="C102" activePane="bottomRight" state="frozen"/>
      <selection pane="topRight" activeCell="C1" sqref="C1"/>
      <selection pane="bottomLeft" activeCell="A4" sqref="A4"/>
      <selection pane="bottomRight" activeCell="Q93" sqref="A93:Q93"/>
    </sheetView>
  </sheetViews>
  <sheetFormatPr defaultColWidth="10.28515625" defaultRowHeight="23.25" x14ac:dyDescent="0.55000000000000004"/>
  <cols>
    <col min="1" max="1" width="5.85546875" style="333" bestFit="1" customWidth="1"/>
    <col min="2" max="2" width="52.85546875" style="310" customWidth="1"/>
    <col min="3" max="3" width="16.85546875" style="488" customWidth="1"/>
    <col min="4" max="4" width="14" style="285" hidden="1" customWidth="1"/>
    <col min="5" max="5" width="20.7109375" style="285" hidden="1" customWidth="1"/>
    <col min="6" max="6" width="21.7109375" style="338" hidden="1" customWidth="1"/>
    <col min="7" max="7" width="44.85546875" style="339" hidden="1" customWidth="1"/>
    <col min="8" max="8" width="20.28515625" style="473" customWidth="1"/>
    <col min="9" max="9" width="18.140625" style="285" customWidth="1"/>
    <col min="10" max="10" width="18.5703125" style="285" hidden="1" customWidth="1"/>
    <col min="11" max="11" width="16.42578125" style="285" hidden="1" customWidth="1"/>
    <col min="12" max="12" width="17.28515625" style="285" hidden="1" customWidth="1"/>
    <col min="13" max="13" width="14" style="285" hidden="1" customWidth="1"/>
    <col min="14" max="14" width="14.28515625" style="285" hidden="1" customWidth="1"/>
    <col min="15" max="15" width="14.28515625" style="362" customWidth="1"/>
    <col min="16" max="16" width="14.42578125" style="450" customWidth="1"/>
    <col min="17" max="17" width="16.5703125" style="362" customWidth="1"/>
    <col min="18" max="18" width="17.7109375" style="285" customWidth="1"/>
    <col min="19" max="19" width="12.28515625" style="285" bestFit="1" customWidth="1"/>
    <col min="20" max="16384" width="10.28515625" style="285"/>
  </cols>
  <sheetData>
    <row r="1" spans="1:21" ht="27.75" x14ac:dyDescent="0.65">
      <c r="A1" s="433" t="s">
        <v>357</v>
      </c>
      <c r="B1" s="433"/>
      <c r="C1" s="455"/>
      <c r="D1" s="433"/>
      <c r="E1" s="433"/>
      <c r="F1" s="433"/>
      <c r="G1" s="433"/>
      <c r="H1" s="455"/>
    </row>
    <row r="2" spans="1:21" x14ac:dyDescent="0.55000000000000004">
      <c r="A2" s="434" t="s">
        <v>358</v>
      </c>
      <c r="B2" s="434"/>
      <c r="C2" s="474"/>
      <c r="D2" s="434"/>
      <c r="E2" s="434"/>
      <c r="F2" s="434"/>
      <c r="G2" s="434"/>
      <c r="H2" s="456"/>
    </row>
    <row r="3" spans="1:21" s="288" customFormat="1" ht="24" x14ac:dyDescent="0.2">
      <c r="A3" s="422" t="s">
        <v>0</v>
      </c>
      <c r="B3" s="422" t="s">
        <v>1</v>
      </c>
      <c r="C3" s="713" t="s">
        <v>574</v>
      </c>
      <c r="D3" s="714"/>
      <c r="E3" s="715"/>
      <c r="F3" s="422" t="s">
        <v>360</v>
      </c>
      <c r="G3" s="423" t="s">
        <v>361</v>
      </c>
      <c r="H3" s="457" t="s">
        <v>578</v>
      </c>
      <c r="I3" s="425" t="s">
        <v>577</v>
      </c>
      <c r="J3" s="425" t="s">
        <v>620</v>
      </c>
      <c r="K3" s="425" t="s">
        <v>151</v>
      </c>
      <c r="L3" s="425" t="s">
        <v>573</v>
      </c>
      <c r="N3" s="451" t="s">
        <v>595</v>
      </c>
      <c r="O3" s="636" t="s">
        <v>673</v>
      </c>
      <c r="P3" s="637" t="s">
        <v>671</v>
      </c>
      <c r="Q3" s="638" t="s">
        <v>672</v>
      </c>
    </row>
    <row r="4" spans="1:21" x14ac:dyDescent="0.55000000000000004">
      <c r="A4" s="296"/>
      <c r="B4" s="500" t="s">
        <v>362</v>
      </c>
      <c r="C4" s="475"/>
      <c r="D4" s="424" t="s">
        <v>364</v>
      </c>
      <c r="E4" s="299"/>
      <c r="F4" s="300"/>
      <c r="G4" s="301"/>
      <c r="H4" s="458"/>
      <c r="I4" s="432"/>
      <c r="J4" s="432"/>
      <c r="K4" s="432"/>
      <c r="L4" s="432"/>
      <c r="N4" s="325"/>
      <c r="O4" s="639"/>
      <c r="P4" s="642"/>
      <c r="Q4" s="639"/>
      <c r="U4" s="285">
        <v>1755000</v>
      </c>
    </row>
    <row r="5" spans="1:21" ht="16.5" customHeight="1" x14ac:dyDescent="0.55000000000000004">
      <c r="A5" s="572">
        <v>1</v>
      </c>
      <c r="B5" s="573" t="s">
        <v>365</v>
      </c>
      <c r="C5" s="574">
        <v>1287000</v>
      </c>
      <c r="D5" s="575" t="s">
        <v>88</v>
      </c>
      <c r="E5" s="576"/>
      <c r="F5" s="577" t="s">
        <v>366</v>
      </c>
      <c r="G5" s="578" t="s">
        <v>367</v>
      </c>
      <c r="H5" s="579">
        <f>SUM(H6:H8)</f>
        <v>2613000</v>
      </c>
      <c r="I5" s="580">
        <f>SUM(I6:I8)</f>
        <v>2613000</v>
      </c>
      <c r="J5" s="508">
        <v>0</v>
      </c>
      <c r="K5" s="507"/>
      <c r="L5" s="507"/>
      <c r="M5" s="509"/>
      <c r="N5" s="566"/>
      <c r="O5" s="640"/>
      <c r="P5" s="641">
        <f>SUM(C5-I5)</f>
        <v>-1326000</v>
      </c>
      <c r="Q5" s="640"/>
      <c r="S5" s="285">
        <v>234000</v>
      </c>
      <c r="U5" s="285">
        <v>585000</v>
      </c>
    </row>
    <row r="6" spans="1:21" x14ac:dyDescent="0.55000000000000004">
      <c r="A6" s="296"/>
      <c r="B6" s="303" t="s">
        <v>579</v>
      </c>
      <c r="C6" s="476"/>
      <c r="D6" s="298"/>
      <c r="E6" s="299"/>
      <c r="F6" s="300"/>
      <c r="G6" s="301"/>
      <c r="H6" s="459"/>
      <c r="I6" s="432"/>
      <c r="J6" s="432"/>
      <c r="K6" s="432"/>
      <c r="L6" s="444"/>
      <c r="N6" s="325"/>
      <c r="O6" s="639"/>
      <c r="P6" s="642"/>
      <c r="Q6" s="639"/>
      <c r="S6" s="285">
        <v>351000</v>
      </c>
      <c r="U6" s="285">
        <f>SUM(U4:U5)</f>
        <v>2340000</v>
      </c>
    </row>
    <row r="7" spans="1:21" x14ac:dyDescent="0.55000000000000004">
      <c r="A7" s="296"/>
      <c r="B7" s="297" t="s">
        <v>582</v>
      </c>
      <c r="C7" s="476"/>
      <c r="D7" s="298"/>
      <c r="E7" s="299"/>
      <c r="F7" s="300"/>
      <c r="G7" s="301"/>
      <c r="H7" s="459">
        <v>2340000</v>
      </c>
      <c r="I7" s="432">
        <v>2340000</v>
      </c>
      <c r="J7" s="432"/>
      <c r="K7" s="432"/>
      <c r="L7" s="432"/>
      <c r="N7" s="325"/>
      <c r="O7" s="639"/>
      <c r="P7" s="642"/>
      <c r="Q7" s="639"/>
      <c r="S7" s="285">
        <f>SUM(S5:S6)</f>
        <v>585000</v>
      </c>
    </row>
    <row r="8" spans="1:21" x14ac:dyDescent="0.55000000000000004">
      <c r="A8" s="296"/>
      <c r="B8" s="297" t="s">
        <v>596</v>
      </c>
      <c r="C8" s="476"/>
      <c r="D8" s="298"/>
      <c r="E8" s="299"/>
      <c r="F8" s="300"/>
      <c r="G8" s="301"/>
      <c r="H8" s="459">
        <v>273000</v>
      </c>
      <c r="I8" s="432">
        <v>273000</v>
      </c>
      <c r="J8" s="432"/>
      <c r="K8" s="444">
        <f>SUM(I7:I8)</f>
        <v>2613000</v>
      </c>
      <c r="L8" s="444">
        <v>0</v>
      </c>
      <c r="N8" s="454">
        <f>SUM(C5-K8)</f>
        <v>-1326000</v>
      </c>
      <c r="O8" s="642"/>
      <c r="P8" s="642"/>
      <c r="Q8" s="639"/>
      <c r="S8" s="285">
        <v>2340000</v>
      </c>
    </row>
    <row r="9" spans="1:21" x14ac:dyDescent="0.55000000000000004">
      <c r="A9" s="296"/>
      <c r="B9" s="297"/>
      <c r="C9" s="476"/>
      <c r="D9" s="298"/>
      <c r="E9" s="299"/>
      <c r="F9" s="300"/>
      <c r="G9" s="301"/>
      <c r="H9" s="459"/>
      <c r="I9" s="432"/>
      <c r="J9" s="432"/>
      <c r="K9" s="432"/>
      <c r="L9" s="444"/>
      <c r="N9" s="325"/>
      <c r="O9" s="639"/>
      <c r="P9" s="642"/>
      <c r="Q9" s="639"/>
    </row>
    <row r="10" spans="1:21" ht="24.6" customHeight="1" x14ac:dyDescent="0.55000000000000004">
      <c r="A10" s="572">
        <v>2</v>
      </c>
      <c r="B10" s="573" t="s">
        <v>368</v>
      </c>
      <c r="C10" s="581">
        <v>820000</v>
      </c>
      <c r="D10" s="582" t="s">
        <v>88</v>
      </c>
      <c r="E10" s="583"/>
      <c r="F10" s="584" t="s">
        <v>369</v>
      </c>
      <c r="G10" s="585" t="s">
        <v>370</v>
      </c>
      <c r="H10" s="579">
        <v>596500</v>
      </c>
      <c r="I10" s="580">
        <v>596500</v>
      </c>
      <c r="J10" s="580">
        <v>0</v>
      </c>
      <c r="K10" s="589">
        <f>SUM(I10)</f>
        <v>596500</v>
      </c>
      <c r="L10" s="590">
        <v>0</v>
      </c>
      <c r="M10" s="591"/>
      <c r="N10" s="592">
        <f>SUM(C10-K10)</f>
        <v>223500</v>
      </c>
      <c r="O10" s="640"/>
      <c r="P10" s="641"/>
      <c r="Q10" s="640">
        <f>SUM(C10-I10)</f>
        <v>223500</v>
      </c>
      <c r="S10" s="285">
        <f>SUM(S8-S7)</f>
        <v>1755000</v>
      </c>
    </row>
    <row r="11" spans="1:21" ht="24.6" customHeight="1" x14ac:dyDescent="0.55000000000000004">
      <c r="A11" s="296"/>
      <c r="B11" s="297"/>
      <c r="C11" s="476"/>
      <c r="D11" s="298"/>
      <c r="E11" s="299"/>
      <c r="F11" s="302"/>
      <c r="G11" s="301"/>
      <c r="H11" s="459"/>
      <c r="I11" s="432"/>
      <c r="J11" s="432"/>
      <c r="K11" s="432"/>
      <c r="L11" s="432"/>
      <c r="N11" s="453"/>
      <c r="O11" s="639"/>
      <c r="P11" s="642"/>
      <c r="Q11" s="639"/>
    </row>
    <row r="12" spans="1:21" ht="30" customHeight="1" x14ac:dyDescent="0.55000000000000004">
      <c r="A12" s="572">
        <v>3</v>
      </c>
      <c r="B12" s="573" t="s">
        <v>371</v>
      </c>
      <c r="C12" s="574">
        <v>460000</v>
      </c>
      <c r="D12" s="575" t="s">
        <v>88</v>
      </c>
      <c r="E12" s="576"/>
      <c r="F12" s="577" t="s">
        <v>372</v>
      </c>
      <c r="G12" s="578" t="s">
        <v>373</v>
      </c>
      <c r="H12" s="579">
        <v>360600</v>
      </c>
      <c r="I12" s="580">
        <v>360600</v>
      </c>
      <c r="J12" s="580">
        <v>0</v>
      </c>
      <c r="K12" s="589">
        <f>SUM(I12)</f>
        <v>360600</v>
      </c>
      <c r="L12" s="590">
        <v>0</v>
      </c>
      <c r="M12" s="591"/>
      <c r="N12" s="592">
        <f>SUM(C12-K12)</f>
        <v>99400</v>
      </c>
      <c r="O12" s="640"/>
      <c r="P12" s="641"/>
      <c r="Q12" s="640">
        <f>SUM(C12-I12)</f>
        <v>99400</v>
      </c>
    </row>
    <row r="13" spans="1:21" ht="30" customHeight="1" x14ac:dyDescent="0.55000000000000004">
      <c r="A13" s="296"/>
      <c r="B13" s="297"/>
      <c r="C13" s="476"/>
      <c r="D13" s="298"/>
      <c r="E13" s="299"/>
      <c r="F13" s="300"/>
      <c r="G13" s="301"/>
      <c r="H13" s="459"/>
      <c r="I13" s="432"/>
      <c r="J13" s="432"/>
      <c r="K13" s="432"/>
      <c r="L13" s="432"/>
      <c r="N13" s="325"/>
      <c r="O13" s="639"/>
      <c r="P13" s="642"/>
      <c r="Q13" s="639"/>
    </row>
    <row r="14" spans="1:21" ht="28.9" customHeight="1" x14ac:dyDescent="0.55000000000000004">
      <c r="A14" s="572">
        <v>4</v>
      </c>
      <c r="B14" s="573" t="s">
        <v>593</v>
      </c>
      <c r="C14" s="581">
        <v>500000</v>
      </c>
      <c r="D14" s="582" t="s">
        <v>88</v>
      </c>
      <c r="E14" s="583"/>
      <c r="F14" s="584" t="s">
        <v>375</v>
      </c>
      <c r="G14" s="585" t="s">
        <v>370</v>
      </c>
      <c r="H14" s="586"/>
      <c r="I14" s="580"/>
      <c r="J14" s="580">
        <v>500000</v>
      </c>
      <c r="K14" s="589">
        <v>500000</v>
      </c>
      <c r="L14" s="590"/>
      <c r="M14" s="591"/>
      <c r="N14" s="592">
        <f>SUM(C14-K14)</f>
        <v>0</v>
      </c>
      <c r="O14" s="640"/>
      <c r="P14" s="641"/>
      <c r="Q14" s="640">
        <v>500000</v>
      </c>
    </row>
    <row r="15" spans="1:21" ht="28.9" customHeight="1" x14ac:dyDescent="0.55000000000000004">
      <c r="A15" s="296"/>
      <c r="B15" s="443"/>
      <c r="C15" s="476"/>
      <c r="D15" s="298"/>
      <c r="E15" s="299"/>
      <c r="F15" s="302"/>
      <c r="G15" s="301"/>
      <c r="H15" s="459"/>
      <c r="I15" s="432"/>
      <c r="J15" s="432"/>
      <c r="K15" s="432"/>
      <c r="L15" s="432"/>
      <c r="N15" s="325"/>
      <c r="O15" s="639"/>
      <c r="P15" s="642"/>
      <c r="Q15" s="639"/>
    </row>
    <row r="16" spans="1:21" x14ac:dyDescent="0.55000000000000004">
      <c r="A16" s="572">
        <v>5</v>
      </c>
      <c r="B16" s="607" t="s">
        <v>376</v>
      </c>
      <c r="C16" s="608">
        <v>600000</v>
      </c>
      <c r="D16" s="609" t="s">
        <v>88</v>
      </c>
      <c r="E16" s="587"/>
      <c r="F16" s="610" t="s">
        <v>369</v>
      </c>
      <c r="G16" s="611" t="s">
        <v>377</v>
      </c>
      <c r="H16" s="612">
        <v>425000</v>
      </c>
      <c r="I16" s="590">
        <v>425000</v>
      </c>
      <c r="J16" s="590">
        <v>0</v>
      </c>
      <c r="K16" s="589">
        <f>SUM(I16)</f>
        <v>425000</v>
      </c>
      <c r="L16" s="590">
        <v>0</v>
      </c>
      <c r="M16" s="591"/>
      <c r="N16" s="592">
        <f>SUM(C16-K16)</f>
        <v>175000</v>
      </c>
      <c r="O16" s="640"/>
      <c r="P16" s="641"/>
      <c r="Q16" s="640">
        <f>SUM(C16-I16)</f>
        <v>175000</v>
      </c>
    </row>
    <row r="17" spans="1:17" x14ac:dyDescent="0.55000000000000004">
      <c r="A17" s="296"/>
      <c r="B17" s="303"/>
      <c r="C17" s="477"/>
      <c r="D17" s="298"/>
      <c r="E17" s="299"/>
      <c r="F17" s="302"/>
      <c r="G17" s="301"/>
      <c r="H17" s="459"/>
      <c r="I17" s="432"/>
      <c r="J17" s="432"/>
      <c r="K17" s="444"/>
      <c r="L17" s="432"/>
      <c r="N17" s="453"/>
      <c r="O17" s="639"/>
      <c r="P17" s="642"/>
      <c r="Q17" s="639"/>
    </row>
    <row r="18" spans="1:17" x14ac:dyDescent="0.55000000000000004">
      <c r="A18" s="572">
        <v>6</v>
      </c>
      <c r="B18" s="607" t="s">
        <v>378</v>
      </c>
      <c r="C18" s="581">
        <v>1000000</v>
      </c>
      <c r="D18" s="582" t="s">
        <v>88</v>
      </c>
      <c r="E18" s="583"/>
      <c r="F18" s="584" t="s">
        <v>379</v>
      </c>
      <c r="G18" s="585" t="s">
        <v>380</v>
      </c>
      <c r="H18" s="579">
        <f>SUM(H19:H23)</f>
        <v>1223300</v>
      </c>
      <c r="I18" s="579">
        <f>SUM(I19:I23)</f>
        <v>1223300</v>
      </c>
      <c r="J18" s="580">
        <v>0</v>
      </c>
      <c r="K18" s="590"/>
      <c r="L18" s="590"/>
      <c r="M18" s="591"/>
      <c r="N18" s="613"/>
      <c r="O18" s="640"/>
      <c r="P18" s="641">
        <f>SUM(C18-I18)</f>
        <v>-223300</v>
      </c>
      <c r="Q18" s="640"/>
    </row>
    <row r="19" spans="1:17" x14ac:dyDescent="0.55000000000000004">
      <c r="A19" s="296"/>
      <c r="B19" s="303" t="s">
        <v>580</v>
      </c>
      <c r="C19" s="477"/>
      <c r="D19" s="298"/>
      <c r="E19" s="299"/>
      <c r="F19" s="305"/>
      <c r="G19" s="301"/>
      <c r="H19" s="459">
        <f>80000+78500+78500</f>
        <v>237000</v>
      </c>
      <c r="I19" s="442">
        <f>80000+78500+78500</f>
        <v>237000</v>
      </c>
      <c r="J19" s="442"/>
      <c r="K19" s="432"/>
      <c r="L19" s="432"/>
      <c r="N19" s="325"/>
      <c r="O19" s="328"/>
      <c r="P19" s="643"/>
      <c r="Q19" s="328"/>
    </row>
    <row r="20" spans="1:17" x14ac:dyDescent="0.55000000000000004">
      <c r="A20" s="296"/>
      <c r="B20" s="303" t="s">
        <v>589</v>
      </c>
      <c r="C20" s="477"/>
      <c r="D20" s="298"/>
      <c r="E20" s="299"/>
      <c r="F20" s="305"/>
      <c r="G20" s="301"/>
      <c r="H20" s="459">
        <v>198900</v>
      </c>
      <c r="I20" s="442">
        <v>198900</v>
      </c>
      <c r="J20" s="442"/>
      <c r="K20" s="432"/>
      <c r="L20" s="432"/>
      <c r="N20" s="325"/>
      <c r="O20" s="328"/>
      <c r="P20" s="643"/>
      <c r="Q20" s="328"/>
    </row>
    <row r="21" spans="1:17" x14ac:dyDescent="0.55000000000000004">
      <c r="A21" s="296"/>
      <c r="B21" s="303" t="s">
        <v>581</v>
      </c>
      <c r="C21" s="477"/>
      <c r="D21" s="298"/>
      <c r="E21" s="299"/>
      <c r="F21" s="305"/>
      <c r="G21" s="301"/>
      <c r="H21" s="459">
        <v>340000</v>
      </c>
      <c r="I21" s="442">
        <v>340000</v>
      </c>
      <c r="J21" s="442"/>
      <c r="K21" s="432"/>
      <c r="L21" s="432"/>
      <c r="N21" s="325"/>
      <c r="O21" s="328"/>
      <c r="P21" s="643"/>
      <c r="Q21" s="328"/>
    </row>
    <row r="22" spans="1:17" x14ac:dyDescent="0.55000000000000004">
      <c r="A22" s="296"/>
      <c r="B22" s="303" t="s">
        <v>591</v>
      </c>
      <c r="C22" s="477"/>
      <c r="D22" s="298"/>
      <c r="E22" s="299"/>
      <c r="F22" s="305"/>
      <c r="G22" s="301"/>
      <c r="H22" s="459">
        <v>247600</v>
      </c>
      <c r="I22" s="442">
        <f>SUM(H22)</f>
        <v>247600</v>
      </c>
      <c r="J22" s="442"/>
      <c r="K22" s="432"/>
      <c r="L22" s="432"/>
      <c r="N22" s="325"/>
      <c r="O22" s="328"/>
      <c r="P22" s="643"/>
      <c r="Q22" s="328"/>
    </row>
    <row r="23" spans="1:17" x14ac:dyDescent="0.55000000000000004">
      <c r="A23" s="296"/>
      <c r="B23" s="303" t="s">
        <v>590</v>
      </c>
      <c r="C23" s="477"/>
      <c r="D23" s="298"/>
      <c r="E23" s="299"/>
      <c r="F23" s="305"/>
      <c r="G23" s="301"/>
      <c r="H23" s="459">
        <v>199800</v>
      </c>
      <c r="I23" s="442">
        <f>SUM(H23)</f>
        <v>199800</v>
      </c>
      <c r="J23" s="442"/>
      <c r="K23" s="444">
        <f>SUM(I19:I23)</f>
        <v>1223300</v>
      </c>
      <c r="L23" s="490">
        <v>0</v>
      </c>
      <c r="N23" s="454">
        <f>SUM(C18-K23)</f>
        <v>-223300</v>
      </c>
      <c r="O23" s="643"/>
      <c r="P23" s="643"/>
      <c r="Q23" s="328"/>
    </row>
    <row r="24" spans="1:17" x14ac:dyDescent="0.55000000000000004">
      <c r="A24" s="296"/>
      <c r="B24" s="303"/>
      <c r="C24" s="477"/>
      <c r="D24" s="298"/>
      <c r="E24" s="299"/>
      <c r="F24" s="305"/>
      <c r="G24" s="301"/>
      <c r="H24" s="459"/>
      <c r="I24" s="442"/>
      <c r="J24" s="442"/>
      <c r="K24" s="432"/>
      <c r="L24" s="432"/>
      <c r="N24" s="325"/>
      <c r="O24" s="328"/>
      <c r="P24" s="643"/>
      <c r="Q24" s="328"/>
    </row>
    <row r="25" spans="1:17" x14ac:dyDescent="0.55000000000000004">
      <c r="A25" s="572">
        <v>7</v>
      </c>
      <c r="B25" s="607" t="s">
        <v>381</v>
      </c>
      <c r="C25" s="608">
        <v>500000</v>
      </c>
      <c r="D25" s="609" t="s">
        <v>88</v>
      </c>
      <c r="E25" s="587"/>
      <c r="F25" s="610" t="s">
        <v>379</v>
      </c>
      <c r="G25" s="611" t="s">
        <v>382</v>
      </c>
      <c r="H25" s="612">
        <v>198000</v>
      </c>
      <c r="I25" s="590">
        <v>198000</v>
      </c>
      <c r="J25" s="590">
        <v>0</v>
      </c>
      <c r="K25" s="589">
        <v>500000</v>
      </c>
      <c r="L25" s="590">
        <f>SUM(C25-K25)</f>
        <v>0</v>
      </c>
      <c r="M25" s="591"/>
      <c r="N25" s="592">
        <f>SUM(C25-K25)</f>
        <v>0</v>
      </c>
      <c r="O25" s="640"/>
      <c r="P25" s="641"/>
      <c r="Q25" s="640">
        <f>SUM(C25-I25)</f>
        <v>302000</v>
      </c>
    </row>
    <row r="26" spans="1:17" x14ac:dyDescent="0.55000000000000004">
      <c r="A26" s="296"/>
      <c r="B26" s="303"/>
      <c r="C26" s="477"/>
      <c r="D26" s="298"/>
      <c r="E26" s="299"/>
      <c r="F26" s="305"/>
      <c r="G26" s="301"/>
      <c r="H26" s="459"/>
      <c r="I26" s="432"/>
      <c r="J26" s="432"/>
      <c r="K26" s="444"/>
      <c r="L26" s="432"/>
      <c r="N26" s="453"/>
      <c r="O26" s="328"/>
      <c r="P26" s="643"/>
      <c r="Q26" s="328"/>
    </row>
    <row r="27" spans="1:17" x14ac:dyDescent="0.55000000000000004">
      <c r="A27" s="572">
        <v>8</v>
      </c>
      <c r="B27" s="573" t="s">
        <v>383</v>
      </c>
      <c r="C27" s="608">
        <v>1500000</v>
      </c>
      <c r="D27" s="609" t="s">
        <v>88</v>
      </c>
      <c r="E27" s="587"/>
      <c r="F27" s="610" t="s">
        <v>384</v>
      </c>
      <c r="G27" s="611" t="s">
        <v>385</v>
      </c>
      <c r="H27" s="612">
        <v>1500000</v>
      </c>
      <c r="I27" s="590">
        <v>1500000</v>
      </c>
      <c r="J27" s="590">
        <v>0</v>
      </c>
      <c r="K27" s="589">
        <f>SUM(I27)</f>
        <v>1500000</v>
      </c>
      <c r="L27" s="590">
        <f>SUM(C27-K27)</f>
        <v>0</v>
      </c>
      <c r="M27" s="591"/>
      <c r="N27" s="592">
        <f>SUM(C27-K27)</f>
        <v>0</v>
      </c>
      <c r="O27" s="640"/>
      <c r="P27" s="641"/>
      <c r="Q27" s="640">
        <f>SUM(U30)</f>
        <v>0</v>
      </c>
    </row>
    <row r="28" spans="1:17" x14ac:dyDescent="0.55000000000000004">
      <c r="A28" s="296"/>
      <c r="B28" s="443"/>
      <c r="C28" s="477"/>
      <c r="D28" s="298"/>
      <c r="F28" s="305"/>
      <c r="G28" s="301"/>
      <c r="H28" s="459"/>
      <c r="I28" s="432"/>
      <c r="J28" s="432"/>
      <c r="K28" s="432"/>
      <c r="L28" s="432"/>
      <c r="N28" s="325"/>
      <c r="O28" s="328"/>
      <c r="P28" s="643"/>
      <c r="Q28" s="328"/>
    </row>
    <row r="29" spans="1:17" x14ac:dyDescent="0.55000000000000004">
      <c r="A29" s="572">
        <v>9</v>
      </c>
      <c r="B29" s="573" t="s">
        <v>386</v>
      </c>
      <c r="C29" s="608">
        <v>350000</v>
      </c>
      <c r="D29" s="609" t="s">
        <v>88</v>
      </c>
      <c r="E29" s="591"/>
      <c r="F29" s="610" t="s">
        <v>387</v>
      </c>
      <c r="G29" s="611" t="s">
        <v>388</v>
      </c>
      <c r="H29" s="612"/>
      <c r="I29" s="590">
        <f>SUM(H30:H31)</f>
        <v>330000</v>
      </c>
      <c r="J29" s="590">
        <v>0</v>
      </c>
      <c r="K29" s="589"/>
      <c r="L29" s="590"/>
      <c r="M29" s="591"/>
      <c r="N29" s="613"/>
      <c r="O29" s="640"/>
      <c r="P29" s="641"/>
      <c r="Q29" s="640">
        <f>SUM(C29-I29)</f>
        <v>20000</v>
      </c>
    </row>
    <row r="30" spans="1:17" x14ac:dyDescent="0.55000000000000004">
      <c r="A30" s="296"/>
      <c r="B30" s="297" t="s">
        <v>584</v>
      </c>
      <c r="C30" s="476"/>
      <c r="D30" s="298"/>
      <c r="F30" s="302"/>
      <c r="G30" s="301"/>
      <c r="H30" s="459">
        <v>280000</v>
      </c>
      <c r="I30" s="432"/>
      <c r="J30" s="432"/>
      <c r="K30" s="432"/>
      <c r="L30" s="432"/>
      <c r="N30" s="325"/>
      <c r="O30" s="328"/>
      <c r="P30" s="643"/>
      <c r="Q30" s="328"/>
    </row>
    <row r="31" spans="1:17" x14ac:dyDescent="0.55000000000000004">
      <c r="A31" s="296"/>
      <c r="B31" s="297" t="s">
        <v>585</v>
      </c>
      <c r="C31" s="476"/>
      <c r="D31" s="298"/>
      <c r="F31" s="302"/>
      <c r="G31" s="301"/>
      <c r="H31" s="459">
        <v>50000</v>
      </c>
      <c r="I31" s="432"/>
      <c r="J31" s="432"/>
      <c r="K31" s="444">
        <f>SUM(I30:I31)</f>
        <v>0</v>
      </c>
      <c r="L31" s="432">
        <v>0</v>
      </c>
      <c r="N31" s="453">
        <f>SUM(C29-K31)</f>
        <v>350000</v>
      </c>
      <c r="O31" s="328"/>
      <c r="P31" s="643"/>
      <c r="Q31" s="328"/>
    </row>
    <row r="32" spans="1:17" x14ac:dyDescent="0.55000000000000004">
      <c r="A32" s="296"/>
      <c r="B32" s="297"/>
      <c r="C32" s="476"/>
      <c r="D32" s="298"/>
      <c r="F32" s="302"/>
      <c r="G32" s="301"/>
      <c r="H32" s="459"/>
      <c r="I32" s="432"/>
      <c r="J32" s="432"/>
      <c r="K32" s="444"/>
      <c r="L32" s="432"/>
      <c r="N32" s="453"/>
      <c r="O32" s="328"/>
      <c r="P32" s="643"/>
      <c r="Q32" s="328"/>
    </row>
    <row r="33" spans="1:19" s="310" customFormat="1" ht="28.9" customHeight="1" x14ac:dyDescent="0.2">
      <c r="A33" s="572">
        <v>10</v>
      </c>
      <c r="B33" s="573" t="s">
        <v>389</v>
      </c>
      <c r="C33" s="614">
        <v>1760000</v>
      </c>
      <c r="D33" s="615" t="s">
        <v>88</v>
      </c>
      <c r="E33" s="616"/>
      <c r="F33" s="617" t="s">
        <v>390</v>
      </c>
      <c r="G33" s="618" t="s">
        <v>391</v>
      </c>
      <c r="H33" s="612"/>
      <c r="I33" s="590">
        <v>1473120</v>
      </c>
      <c r="J33" s="590">
        <v>286880</v>
      </c>
      <c r="K33" s="589">
        <v>1760000</v>
      </c>
      <c r="L33" s="590"/>
      <c r="M33" s="619"/>
      <c r="N33" s="620"/>
      <c r="O33" s="590"/>
      <c r="P33" s="589"/>
      <c r="Q33" s="590"/>
    </row>
    <row r="34" spans="1:19" s="310" customFormat="1" ht="28.9" customHeight="1" x14ac:dyDescent="0.2">
      <c r="A34" s="296"/>
      <c r="B34" s="297" t="s">
        <v>588</v>
      </c>
      <c r="C34" s="478"/>
      <c r="D34" s="313"/>
      <c r="E34" s="307"/>
      <c r="F34" s="308"/>
      <c r="G34" s="309"/>
      <c r="H34" s="459">
        <v>1636800</v>
      </c>
      <c r="I34" s="432"/>
      <c r="J34" s="432"/>
      <c r="K34" s="432"/>
      <c r="L34" s="432"/>
      <c r="N34" s="447"/>
      <c r="O34" s="432"/>
      <c r="P34" s="444"/>
      <c r="Q34" s="432"/>
    </row>
    <row r="35" spans="1:19" s="310" customFormat="1" ht="28.9" customHeight="1" x14ac:dyDescent="0.2">
      <c r="A35" s="296"/>
      <c r="B35" s="297" t="s">
        <v>587</v>
      </c>
      <c r="C35" s="478"/>
      <c r="D35" s="313"/>
      <c r="E35" s="307"/>
      <c r="F35" s="308"/>
      <c r="G35" s="309"/>
      <c r="H35" s="459">
        <v>286880</v>
      </c>
      <c r="I35" s="432"/>
      <c r="J35" s="432"/>
      <c r="K35" s="432">
        <f>SUM(H34:H35)</f>
        <v>1923680</v>
      </c>
      <c r="L35" s="432">
        <f>SUM(H35)</f>
        <v>286880</v>
      </c>
      <c r="N35" s="491">
        <f>SUM(C33-K35)</f>
        <v>-163680</v>
      </c>
      <c r="O35" s="444">
        <v>286880</v>
      </c>
      <c r="P35" s="444"/>
      <c r="Q35" s="432"/>
    </row>
    <row r="36" spans="1:19" s="310" customFormat="1" ht="28.9" customHeight="1" x14ac:dyDescent="0.2">
      <c r="A36" s="296"/>
      <c r="B36" s="297"/>
      <c r="C36" s="478"/>
      <c r="D36" s="313"/>
      <c r="E36" s="307"/>
      <c r="F36" s="308"/>
      <c r="G36" s="309"/>
      <c r="H36" s="459"/>
      <c r="I36" s="432"/>
      <c r="J36" s="432"/>
      <c r="K36" s="432"/>
      <c r="L36" s="432"/>
      <c r="N36" s="447"/>
      <c r="O36" s="432"/>
      <c r="P36" s="444"/>
      <c r="Q36" s="432"/>
    </row>
    <row r="37" spans="1:19" x14ac:dyDescent="0.55000000000000004">
      <c r="A37" s="597">
        <v>11</v>
      </c>
      <c r="B37" s="623" t="s">
        <v>392</v>
      </c>
      <c r="C37" s="624">
        <v>5000000</v>
      </c>
      <c r="D37" s="599" t="s">
        <v>88</v>
      </c>
      <c r="E37" s="600"/>
      <c r="F37" s="625" t="s">
        <v>369</v>
      </c>
      <c r="G37" s="601" t="s">
        <v>388</v>
      </c>
      <c r="H37" s="602">
        <v>4497000</v>
      </c>
      <c r="I37" s="603">
        <v>0</v>
      </c>
      <c r="J37" s="603">
        <v>0</v>
      </c>
      <c r="K37" s="604"/>
      <c r="L37" s="603"/>
      <c r="M37" s="605"/>
      <c r="N37" s="626"/>
      <c r="O37" s="644"/>
      <c r="P37" s="645"/>
      <c r="Q37" s="644">
        <f>SUM(C37-H37-H38)</f>
        <v>368000</v>
      </c>
    </row>
    <row r="38" spans="1:19" x14ac:dyDescent="0.55000000000000004">
      <c r="A38" s="296"/>
      <c r="B38" s="297" t="s">
        <v>612</v>
      </c>
      <c r="C38" s="479"/>
      <c r="D38" s="298"/>
      <c r="E38" s="299"/>
      <c r="F38" s="312"/>
      <c r="G38" s="301"/>
      <c r="H38" s="459">
        <v>135000</v>
      </c>
      <c r="I38" s="432">
        <v>0</v>
      </c>
      <c r="J38" s="432">
        <v>0</v>
      </c>
      <c r="K38" s="432">
        <f>SUM(H37:H38)</f>
        <v>4632000</v>
      </c>
      <c r="L38" s="432">
        <f>SUM(K38)</f>
        <v>4632000</v>
      </c>
      <c r="N38" s="453">
        <f>SUM(C37-L38)</f>
        <v>368000</v>
      </c>
      <c r="O38" s="328"/>
      <c r="P38" s="643"/>
      <c r="Q38" s="328"/>
    </row>
    <row r="39" spans="1:19" x14ac:dyDescent="0.55000000000000004">
      <c r="A39" s="296"/>
      <c r="B39" s="297"/>
      <c r="C39" s="479"/>
      <c r="D39" s="298"/>
      <c r="E39" s="299"/>
      <c r="F39" s="312"/>
      <c r="G39" s="301"/>
      <c r="H39" s="459"/>
      <c r="I39" s="432"/>
      <c r="J39" s="432"/>
      <c r="K39" s="432"/>
      <c r="L39" s="432"/>
      <c r="N39" s="325"/>
      <c r="O39" s="328"/>
      <c r="P39" s="643"/>
      <c r="Q39" s="328"/>
      <c r="S39" s="285" t="s">
        <v>613</v>
      </c>
    </row>
    <row r="40" spans="1:19" x14ac:dyDescent="0.55000000000000004">
      <c r="A40" s="597">
        <v>12</v>
      </c>
      <c r="B40" s="623" t="s">
        <v>393</v>
      </c>
      <c r="C40" s="624">
        <v>300000</v>
      </c>
      <c r="D40" s="599" t="s">
        <v>88</v>
      </c>
      <c r="E40" s="600"/>
      <c r="F40" s="627" t="s">
        <v>372</v>
      </c>
      <c r="G40" s="601" t="s">
        <v>388</v>
      </c>
      <c r="H40" s="602">
        <v>210000</v>
      </c>
      <c r="I40" s="603">
        <v>210000</v>
      </c>
      <c r="J40" s="603">
        <v>0</v>
      </c>
      <c r="K40" s="604"/>
      <c r="L40" s="603"/>
      <c r="M40" s="605"/>
      <c r="N40" s="626"/>
      <c r="O40" s="644"/>
      <c r="P40" s="645">
        <f>SUM(I40:I41-C40)</f>
        <v>-90000</v>
      </c>
      <c r="Q40" s="644"/>
      <c r="S40" s="285">
        <v>1358000</v>
      </c>
    </row>
    <row r="41" spans="1:19" x14ac:dyDescent="0.55000000000000004">
      <c r="A41" s="296"/>
      <c r="B41" s="297" t="s">
        <v>594</v>
      </c>
      <c r="C41" s="479"/>
      <c r="D41" s="298"/>
      <c r="F41" s="300"/>
      <c r="G41" s="301"/>
      <c r="H41" s="459">
        <v>165000</v>
      </c>
      <c r="I41" s="432">
        <v>165000</v>
      </c>
      <c r="J41" s="432"/>
      <c r="K41" s="432">
        <f>SUM(I40:I41)</f>
        <v>375000</v>
      </c>
      <c r="L41" s="444">
        <v>0</v>
      </c>
      <c r="N41" s="454">
        <f>SUM(C40-K41)</f>
        <v>-75000</v>
      </c>
      <c r="O41" s="643"/>
      <c r="P41" s="643"/>
      <c r="Q41" s="328"/>
    </row>
    <row r="42" spans="1:19" x14ac:dyDescent="0.55000000000000004">
      <c r="A42" s="296"/>
      <c r="B42" s="297"/>
      <c r="C42" s="479"/>
      <c r="D42" s="298"/>
      <c r="F42" s="300"/>
      <c r="G42" s="301"/>
      <c r="H42" s="459"/>
      <c r="I42" s="432"/>
      <c r="J42" s="432"/>
      <c r="K42" s="432"/>
      <c r="L42" s="444"/>
      <c r="N42" s="454"/>
      <c r="O42" s="643"/>
      <c r="P42" s="643"/>
      <c r="Q42" s="328"/>
    </row>
    <row r="43" spans="1:19" s="310" customFormat="1" ht="16.5" customHeight="1" x14ac:dyDescent="0.2">
      <c r="A43" s="597">
        <v>13</v>
      </c>
      <c r="B43" s="623" t="s">
        <v>394</v>
      </c>
      <c r="C43" s="629">
        <v>800000</v>
      </c>
      <c r="D43" s="630" t="s">
        <v>88</v>
      </c>
      <c r="E43" s="631"/>
      <c r="F43" s="598" t="s">
        <v>375</v>
      </c>
      <c r="G43" s="632" t="s">
        <v>395</v>
      </c>
      <c r="H43" s="602"/>
      <c r="I43" s="603"/>
      <c r="J43" s="603"/>
      <c r="K43" s="603"/>
      <c r="L43" s="603"/>
      <c r="M43" s="631"/>
      <c r="N43" s="633"/>
      <c r="O43" s="603"/>
      <c r="P43" s="604">
        <f>SUM(C43-I44)</f>
        <v>-93500</v>
      </c>
      <c r="Q43" s="603"/>
    </row>
    <row r="44" spans="1:19" s="310" customFormat="1" x14ac:dyDescent="0.2">
      <c r="A44" s="296"/>
      <c r="B44" s="297" t="s">
        <v>583</v>
      </c>
      <c r="C44" s="480"/>
      <c r="D44" s="313"/>
      <c r="F44" s="303"/>
      <c r="G44" s="309"/>
      <c r="H44" s="459">
        <v>893500</v>
      </c>
      <c r="I44" s="432">
        <v>893500</v>
      </c>
      <c r="J44" s="432"/>
      <c r="K44" s="444">
        <f>SUM(I44)</f>
        <v>893500</v>
      </c>
      <c r="L44" s="444">
        <v>0</v>
      </c>
      <c r="N44" s="491">
        <f>SUM(C43-K44)</f>
        <v>-93500</v>
      </c>
      <c r="O44" s="444"/>
      <c r="P44" s="444"/>
      <c r="Q44" s="432"/>
    </row>
    <row r="45" spans="1:19" ht="24" x14ac:dyDescent="0.55000000000000004">
      <c r="A45" s="296"/>
      <c r="B45" s="340" t="s">
        <v>576</v>
      </c>
      <c r="C45" s="481">
        <f>SUM(C5:C43)</f>
        <v>14877000</v>
      </c>
      <c r="D45" s="298"/>
      <c r="E45" s="299"/>
      <c r="F45" s="300"/>
      <c r="G45" s="301"/>
      <c r="H45" s="460">
        <f>SUM(H4:H44)</f>
        <v>18906880</v>
      </c>
      <c r="I45" s="460">
        <f>SUM(I4:I44)</f>
        <v>13824320</v>
      </c>
      <c r="J45" s="460"/>
      <c r="K45" s="460">
        <f>SUM(K4:K44)</f>
        <v>17302580</v>
      </c>
      <c r="L45" s="460">
        <f>SUM(L4:L44)</f>
        <v>4918880</v>
      </c>
      <c r="N45" s="325"/>
      <c r="O45" s="328">
        <f t="shared" ref="O45:P45" si="0">SUM(O4:O44)</f>
        <v>286880</v>
      </c>
      <c r="P45" s="643">
        <f t="shared" si="0"/>
        <v>-1732800</v>
      </c>
      <c r="Q45" s="328">
        <f>SUM(Q4:Q44)</f>
        <v>1687900</v>
      </c>
      <c r="R45" s="450">
        <f>SUM(Q45+O45)</f>
        <v>1974780</v>
      </c>
      <c r="S45" s="285" t="s">
        <v>620</v>
      </c>
    </row>
    <row r="46" spans="1:19" s="431" customFormat="1" x14ac:dyDescent="0.55000000000000004">
      <c r="A46" s="426"/>
      <c r="B46" s="499" t="s">
        <v>397</v>
      </c>
      <c r="C46" s="475"/>
      <c r="D46" s="427"/>
      <c r="E46" s="428"/>
      <c r="F46" s="429"/>
      <c r="G46" s="430"/>
      <c r="H46" s="461"/>
      <c r="I46" s="441"/>
      <c r="J46" s="441"/>
      <c r="K46" s="441"/>
      <c r="L46" s="441"/>
      <c r="N46" s="452"/>
      <c r="O46" s="646"/>
      <c r="P46" s="648"/>
      <c r="Q46" s="646"/>
    </row>
    <row r="47" spans="1:19" x14ac:dyDescent="0.55000000000000004">
      <c r="A47" s="296"/>
      <c r="B47" s="435" t="s">
        <v>399</v>
      </c>
      <c r="C47" s="482"/>
      <c r="D47" s="436"/>
      <c r="E47" s="299"/>
      <c r="F47" s="322"/>
      <c r="G47" s="301"/>
      <c r="H47" s="462"/>
      <c r="I47" s="432"/>
      <c r="J47" s="432"/>
      <c r="K47" s="432"/>
      <c r="L47" s="432"/>
      <c r="N47" s="325"/>
      <c r="O47" s="328"/>
      <c r="P47" s="643"/>
      <c r="Q47" s="328"/>
    </row>
    <row r="48" spans="1:19" s="310" customFormat="1" ht="27" customHeight="1" x14ac:dyDescent="0.2">
      <c r="A48" s="572">
        <v>1</v>
      </c>
      <c r="B48" s="649" t="s">
        <v>400</v>
      </c>
      <c r="C48" s="650">
        <v>6000000</v>
      </c>
      <c r="D48" s="573"/>
      <c r="E48" s="616"/>
      <c r="F48" s="651" t="s">
        <v>399</v>
      </c>
      <c r="G48" s="618" t="s">
        <v>401</v>
      </c>
      <c r="H48" s="652"/>
      <c r="I48" s="590">
        <f>SUM(H49:H51)-O48</f>
        <v>1840465</v>
      </c>
      <c r="J48" s="590"/>
      <c r="K48" s="590">
        <v>6000000</v>
      </c>
      <c r="L48" s="590">
        <f>SUM(C48)</f>
        <v>6000000</v>
      </c>
      <c r="M48" s="589" t="s">
        <v>566</v>
      </c>
      <c r="N48" s="620"/>
      <c r="O48" s="590">
        <f>250000+46000</f>
        <v>296000</v>
      </c>
      <c r="P48" s="589"/>
      <c r="Q48" s="590">
        <f>SUM(C48-I48)</f>
        <v>4159535</v>
      </c>
    </row>
    <row r="49" spans="1:17" s="310" customFormat="1" ht="27" customHeight="1" x14ac:dyDescent="0.2">
      <c r="A49" s="296"/>
      <c r="B49" s="438" t="s">
        <v>21</v>
      </c>
      <c r="C49" s="483"/>
      <c r="D49" s="447"/>
      <c r="E49" s="445"/>
      <c r="F49" s="446"/>
      <c r="G49" s="309"/>
      <c r="H49" s="464">
        <v>411415</v>
      </c>
      <c r="I49" s="432"/>
      <c r="J49" s="432"/>
      <c r="K49" s="432"/>
      <c r="L49" s="432"/>
      <c r="M49" s="444"/>
      <c r="N49" s="447"/>
      <c r="O49" s="432"/>
      <c r="P49" s="444"/>
      <c r="Q49" s="432"/>
    </row>
    <row r="50" spans="1:17" s="310" customFormat="1" ht="27" customHeight="1" x14ac:dyDescent="0.2">
      <c r="A50" s="296"/>
      <c r="B50" s="438" t="s">
        <v>682</v>
      </c>
      <c r="C50" s="483"/>
      <c r="D50" s="447"/>
      <c r="E50" s="445"/>
      <c r="F50" s="446"/>
      <c r="G50" s="309"/>
      <c r="H50" s="464">
        <v>1575050</v>
      </c>
      <c r="I50" s="432"/>
      <c r="J50" s="432"/>
      <c r="K50" s="432"/>
      <c r="L50" s="432"/>
      <c r="M50" s="444"/>
      <c r="N50" s="447"/>
      <c r="O50" s="432"/>
      <c r="P50" s="444"/>
      <c r="Q50" s="432"/>
    </row>
    <row r="51" spans="1:17" s="310" customFormat="1" ht="27" customHeight="1" x14ac:dyDescent="0.2">
      <c r="A51" s="296"/>
      <c r="B51" s="438" t="s">
        <v>681</v>
      </c>
      <c r="C51" s="483"/>
      <c r="D51" s="447"/>
      <c r="E51" s="445"/>
      <c r="F51" s="446"/>
      <c r="G51" s="309"/>
      <c r="H51" s="464">
        <v>150000</v>
      </c>
      <c r="I51" s="432"/>
      <c r="J51" s="432"/>
      <c r="K51" s="432"/>
      <c r="L51" s="432"/>
      <c r="M51" s="444"/>
      <c r="N51" s="447"/>
      <c r="O51" s="432"/>
      <c r="P51" s="444"/>
      <c r="Q51" s="432"/>
    </row>
    <row r="52" spans="1:17" s="310" customFormat="1" ht="27" customHeight="1" x14ac:dyDescent="0.2">
      <c r="A52" s="296"/>
      <c r="B52" s="438"/>
      <c r="C52" s="483"/>
      <c r="D52" s="447"/>
      <c r="E52" s="445"/>
      <c r="F52" s="446"/>
      <c r="G52" s="309"/>
      <c r="H52" s="464"/>
      <c r="I52" s="432"/>
      <c r="J52" s="432"/>
      <c r="K52" s="432"/>
      <c r="L52" s="432"/>
      <c r="M52" s="444"/>
      <c r="N52" s="447"/>
      <c r="O52" s="432"/>
      <c r="P52" s="444"/>
      <c r="Q52" s="432"/>
    </row>
    <row r="53" spans="1:17" s="310" customFormat="1" ht="27" customHeight="1" x14ac:dyDescent="0.2">
      <c r="A53" s="572">
        <v>2</v>
      </c>
      <c r="B53" s="653" t="s">
        <v>402</v>
      </c>
      <c r="C53" s="650">
        <v>1000000</v>
      </c>
      <c r="D53" s="620"/>
      <c r="E53" s="616"/>
      <c r="F53" s="651" t="s">
        <v>399</v>
      </c>
      <c r="G53" s="618" t="s">
        <v>401</v>
      </c>
      <c r="H53" s="654"/>
      <c r="I53" s="590">
        <f>SUM(H54:H56)</f>
        <v>236500</v>
      </c>
      <c r="J53" s="590"/>
      <c r="K53" s="590">
        <v>1000000</v>
      </c>
      <c r="L53" s="590">
        <f>SUM(C53)</f>
        <v>1000000</v>
      </c>
      <c r="M53" s="589" t="s">
        <v>565</v>
      </c>
      <c r="N53" s="620"/>
      <c r="O53" s="590"/>
      <c r="P53" s="589"/>
      <c r="Q53" s="590">
        <f>SUM(C53-I53)</f>
        <v>763500</v>
      </c>
    </row>
    <row r="54" spans="1:17" s="310" customFormat="1" ht="27" customHeight="1" x14ac:dyDescent="0.2">
      <c r="A54" s="296"/>
      <c r="B54" s="439" t="s">
        <v>601</v>
      </c>
      <c r="C54" s="480"/>
      <c r="D54" s="447"/>
      <c r="E54" s="307"/>
      <c r="F54" s="446"/>
      <c r="G54" s="309"/>
      <c r="H54" s="464">
        <v>50000</v>
      </c>
      <c r="I54" s="432"/>
      <c r="J54" s="432"/>
      <c r="K54" s="432"/>
      <c r="L54" s="464"/>
      <c r="M54" s="444"/>
      <c r="N54" s="447"/>
      <c r="O54" s="432"/>
      <c r="P54" s="444"/>
      <c r="Q54" s="432"/>
    </row>
    <row r="55" spans="1:17" s="310" customFormat="1" ht="27" customHeight="1" x14ac:dyDescent="0.2">
      <c r="A55" s="296"/>
      <c r="B55" s="439" t="s">
        <v>602</v>
      </c>
      <c r="C55" s="480"/>
      <c r="D55" s="447"/>
      <c r="E55" s="307"/>
      <c r="F55" s="446"/>
      <c r="G55" s="309"/>
      <c r="H55" s="464">
        <v>82000</v>
      </c>
      <c r="I55" s="432"/>
      <c r="J55" s="432"/>
      <c r="K55" s="432"/>
      <c r="L55" s="464"/>
      <c r="M55" s="444"/>
      <c r="N55" s="447"/>
      <c r="O55" s="432"/>
      <c r="P55" s="444"/>
      <c r="Q55" s="432"/>
    </row>
    <row r="56" spans="1:17" s="310" customFormat="1" ht="27" customHeight="1" x14ac:dyDescent="0.2">
      <c r="A56" s="296"/>
      <c r="B56" s="439" t="s">
        <v>606</v>
      </c>
      <c r="C56" s="480"/>
      <c r="D56" s="447"/>
      <c r="E56" s="307"/>
      <c r="F56" s="446"/>
      <c r="G56" s="309"/>
      <c r="H56" s="464">
        <v>104500</v>
      </c>
      <c r="I56" s="432"/>
      <c r="J56" s="432"/>
      <c r="K56" s="432"/>
      <c r="L56" s="464"/>
      <c r="M56" s="444"/>
      <c r="N56" s="447"/>
      <c r="O56" s="432"/>
      <c r="P56" s="444"/>
      <c r="Q56" s="432"/>
    </row>
    <row r="57" spans="1:17" s="310" customFormat="1" ht="27" customHeight="1" x14ac:dyDescent="0.2">
      <c r="A57" s="296"/>
      <c r="B57" s="439" t="s">
        <v>674</v>
      </c>
      <c r="C57" s="480"/>
      <c r="D57" s="447"/>
      <c r="E57" s="307"/>
      <c r="F57" s="446"/>
      <c r="G57" s="309"/>
      <c r="H57" s="464">
        <v>95000</v>
      </c>
      <c r="I57" s="432"/>
      <c r="J57" s="432"/>
      <c r="K57" s="432"/>
      <c r="L57" s="464"/>
      <c r="M57" s="444"/>
      <c r="N57" s="447"/>
      <c r="O57" s="432">
        <v>95000</v>
      </c>
      <c r="P57" s="444"/>
      <c r="Q57" s="432"/>
    </row>
    <row r="58" spans="1:17" s="310" customFormat="1" ht="27" customHeight="1" x14ac:dyDescent="0.2">
      <c r="A58" s="296"/>
      <c r="B58" s="439"/>
      <c r="C58" s="480"/>
      <c r="D58" s="447"/>
      <c r="E58" s="307"/>
      <c r="F58" s="446"/>
      <c r="G58" s="309"/>
      <c r="H58" s="464"/>
      <c r="I58" s="432"/>
      <c r="J58" s="432"/>
      <c r="K58" s="432"/>
      <c r="L58" s="464"/>
      <c r="M58" s="444"/>
      <c r="N58" s="447"/>
      <c r="O58" s="432"/>
      <c r="P58" s="444"/>
      <c r="Q58" s="432"/>
    </row>
    <row r="59" spans="1:17" s="310" customFormat="1" ht="27" customHeight="1" x14ac:dyDescent="0.2">
      <c r="A59" s="572">
        <v>3</v>
      </c>
      <c r="B59" s="649" t="s">
        <v>403</v>
      </c>
      <c r="C59" s="650">
        <v>900000</v>
      </c>
      <c r="D59" s="620"/>
      <c r="E59" s="616"/>
      <c r="F59" s="651" t="s">
        <v>399</v>
      </c>
      <c r="G59" s="618" t="s">
        <v>401</v>
      </c>
      <c r="H59" s="654"/>
      <c r="I59" s="590"/>
      <c r="J59" s="590"/>
      <c r="K59" s="655">
        <v>900000</v>
      </c>
      <c r="L59" s="590">
        <f>SUM(C59)</f>
        <v>900000</v>
      </c>
      <c r="M59" s="590"/>
      <c r="N59" s="620"/>
      <c r="O59" s="590"/>
      <c r="P59" s="589"/>
      <c r="Q59" s="590">
        <v>900000</v>
      </c>
    </row>
    <row r="60" spans="1:17" s="310" customFormat="1" ht="27" customHeight="1" x14ac:dyDescent="0.2">
      <c r="A60" s="296"/>
      <c r="B60" s="438"/>
      <c r="C60" s="480"/>
      <c r="D60" s="447"/>
      <c r="E60" s="307"/>
      <c r="F60" s="446"/>
      <c r="G60" s="309"/>
      <c r="H60" s="464"/>
      <c r="I60" s="432"/>
      <c r="J60" s="432"/>
      <c r="K60" s="496"/>
      <c r="L60" s="432"/>
      <c r="M60" s="432"/>
      <c r="N60" s="447"/>
      <c r="O60" s="432"/>
      <c r="P60" s="444"/>
      <c r="Q60" s="432"/>
    </row>
    <row r="61" spans="1:17" s="310" customFormat="1" ht="27" customHeight="1" x14ac:dyDescent="0.2">
      <c r="A61" s="572">
        <v>4</v>
      </c>
      <c r="B61" s="649" t="s">
        <v>404</v>
      </c>
      <c r="C61" s="650">
        <f>150000</f>
        <v>150000</v>
      </c>
      <c r="D61" s="620"/>
      <c r="E61" s="616"/>
      <c r="F61" s="651" t="s">
        <v>399</v>
      </c>
      <c r="G61" s="618" t="s">
        <v>401</v>
      </c>
      <c r="H61" s="654"/>
      <c r="I61" s="590"/>
      <c r="J61" s="590"/>
      <c r="K61" s="655">
        <f>150000</f>
        <v>150000</v>
      </c>
      <c r="L61" s="590">
        <f>SUM(C61)</f>
        <v>150000</v>
      </c>
      <c r="M61" s="590"/>
      <c r="N61" s="620"/>
      <c r="O61" s="590"/>
      <c r="P61" s="589"/>
      <c r="Q61" s="590">
        <v>150000</v>
      </c>
    </row>
    <row r="62" spans="1:17" s="310" customFormat="1" ht="27" customHeight="1" x14ac:dyDescent="0.2">
      <c r="A62" s="296"/>
      <c r="B62" s="438"/>
      <c r="C62" s="480"/>
      <c r="D62" s="447"/>
      <c r="E62" s="307"/>
      <c r="F62" s="446"/>
      <c r="G62" s="309"/>
      <c r="H62" s="464"/>
      <c r="I62" s="432"/>
      <c r="J62" s="432"/>
      <c r="K62" s="496"/>
      <c r="L62" s="432"/>
      <c r="M62" s="432"/>
      <c r="N62" s="447"/>
      <c r="O62" s="432"/>
      <c r="P62" s="444"/>
      <c r="Q62" s="432"/>
    </row>
    <row r="63" spans="1:17" s="310" customFormat="1" ht="27" customHeight="1" x14ac:dyDescent="0.2">
      <c r="A63" s="572">
        <v>5</v>
      </c>
      <c r="B63" s="649" t="s">
        <v>405</v>
      </c>
      <c r="C63" s="650">
        <v>450000</v>
      </c>
      <c r="D63" s="620"/>
      <c r="E63" s="616"/>
      <c r="F63" s="651" t="s">
        <v>399</v>
      </c>
      <c r="G63" s="618" t="s">
        <v>401</v>
      </c>
      <c r="H63" s="654">
        <v>80000</v>
      </c>
      <c r="I63" s="590">
        <v>80000</v>
      </c>
      <c r="J63" s="590"/>
      <c r="K63" s="655">
        <v>450000</v>
      </c>
      <c r="L63" s="590">
        <f>SUM(C63)</f>
        <v>450000</v>
      </c>
      <c r="M63" s="590"/>
      <c r="N63" s="620"/>
      <c r="O63" s="590"/>
      <c r="P63" s="589"/>
      <c r="Q63" s="590">
        <f>SUM(C63-I63)</f>
        <v>370000</v>
      </c>
    </row>
    <row r="64" spans="1:17" s="310" customFormat="1" ht="27" customHeight="1" x14ac:dyDescent="0.2">
      <c r="A64" s="296"/>
      <c r="B64" s="438"/>
      <c r="C64" s="480"/>
      <c r="D64" s="447"/>
      <c r="E64" s="307"/>
      <c r="F64" s="446"/>
      <c r="G64" s="309"/>
      <c r="H64" s="464"/>
      <c r="I64" s="432"/>
      <c r="J64" s="432"/>
      <c r="K64" s="496"/>
      <c r="L64" s="432"/>
      <c r="M64" s="432"/>
      <c r="N64" s="447"/>
      <c r="O64" s="432"/>
      <c r="P64" s="444"/>
      <c r="Q64" s="432"/>
    </row>
    <row r="65" spans="1:17" s="310" customFormat="1" ht="27" customHeight="1" x14ac:dyDescent="0.2">
      <c r="A65" s="572">
        <v>6</v>
      </c>
      <c r="B65" s="656" t="s">
        <v>406</v>
      </c>
      <c r="C65" s="650">
        <v>1000000</v>
      </c>
      <c r="D65" s="620"/>
      <c r="E65" s="616"/>
      <c r="F65" s="651" t="s">
        <v>399</v>
      </c>
      <c r="G65" s="618" t="s">
        <v>401</v>
      </c>
      <c r="H65" s="657"/>
      <c r="I65" s="590">
        <f>SUM(H66:H70)-O69</f>
        <v>1357866</v>
      </c>
      <c r="J65" s="590"/>
      <c r="K65" s="655">
        <v>1000000</v>
      </c>
      <c r="L65" s="590">
        <f>SUM(C63)</f>
        <v>450000</v>
      </c>
      <c r="M65" s="590"/>
      <c r="N65" s="620"/>
      <c r="O65" s="590"/>
      <c r="P65" s="589">
        <f>SUM(C65-I65)</f>
        <v>-357866</v>
      </c>
      <c r="Q65" s="590"/>
    </row>
    <row r="66" spans="1:17" s="310" customFormat="1" ht="27" customHeight="1" x14ac:dyDescent="0.2">
      <c r="A66" s="296"/>
      <c r="B66" s="440" t="s">
        <v>677</v>
      </c>
      <c r="C66" s="480"/>
      <c r="D66" s="448"/>
      <c r="E66" s="307"/>
      <c r="F66" s="446"/>
      <c r="G66" s="309"/>
      <c r="H66" s="466">
        <v>145450</v>
      </c>
      <c r="I66" s="432"/>
      <c r="J66" s="432"/>
      <c r="K66" s="496"/>
      <c r="L66" s="432"/>
      <c r="M66" s="432"/>
      <c r="N66" s="447"/>
      <c r="O66" s="432"/>
      <c r="P66" s="444"/>
      <c r="Q66" s="432"/>
    </row>
    <row r="67" spans="1:17" s="310" customFormat="1" ht="27" customHeight="1" x14ac:dyDescent="0.2">
      <c r="A67" s="296"/>
      <c r="B67" s="440" t="s">
        <v>675</v>
      </c>
      <c r="C67" s="480"/>
      <c r="D67" s="448"/>
      <c r="E67" s="307"/>
      <c r="F67" s="446"/>
      <c r="G67" s="309"/>
      <c r="H67" s="466">
        <v>614800</v>
      </c>
      <c r="I67" s="432"/>
      <c r="J67" s="432"/>
      <c r="K67" s="496"/>
      <c r="L67" s="432"/>
      <c r="M67" s="432"/>
      <c r="N67" s="447"/>
      <c r="O67" s="432"/>
      <c r="P67" s="444"/>
      <c r="Q67" s="432"/>
    </row>
    <row r="68" spans="1:17" s="310" customFormat="1" ht="27" customHeight="1" x14ac:dyDescent="0.2">
      <c r="A68" s="296"/>
      <c r="B68" s="440" t="s">
        <v>676</v>
      </c>
      <c r="C68" s="480"/>
      <c r="D68" s="448"/>
      <c r="E68" s="307"/>
      <c r="F68" s="446"/>
      <c r="G68" s="309"/>
      <c r="H68" s="466">
        <v>448178</v>
      </c>
      <c r="I68" s="432"/>
      <c r="J68" s="432"/>
      <c r="K68" s="496"/>
      <c r="L68" s="432"/>
      <c r="M68" s="432"/>
      <c r="N68" s="447"/>
      <c r="O68" s="432"/>
      <c r="P68" s="444"/>
      <c r="Q68" s="432"/>
    </row>
    <row r="69" spans="1:17" s="310" customFormat="1" ht="27" customHeight="1" x14ac:dyDescent="0.2">
      <c r="A69" s="296"/>
      <c r="B69" s="440" t="s">
        <v>678</v>
      </c>
      <c r="C69" s="480"/>
      <c r="D69" s="448"/>
      <c r="E69" s="307"/>
      <c r="F69" s="446"/>
      <c r="G69" s="309"/>
      <c r="H69" s="466">
        <v>135524</v>
      </c>
      <c r="I69" s="432"/>
      <c r="J69" s="432"/>
      <c r="K69" s="496"/>
      <c r="L69" s="432"/>
      <c r="M69" s="432"/>
      <c r="N69" s="447"/>
      <c r="O69" s="432">
        <v>20860</v>
      </c>
      <c r="P69" s="444"/>
      <c r="Q69" s="432"/>
    </row>
    <row r="70" spans="1:17" s="310" customFormat="1" ht="27" customHeight="1" x14ac:dyDescent="0.2">
      <c r="A70" s="296"/>
      <c r="B70" s="439" t="s">
        <v>621</v>
      </c>
      <c r="C70" s="480"/>
      <c r="D70" s="447"/>
      <c r="E70" s="307"/>
      <c r="F70" s="446"/>
      <c r="G70" s="309"/>
      <c r="H70" s="464">
        <v>34774</v>
      </c>
      <c r="I70" s="432"/>
      <c r="J70" s="432"/>
      <c r="K70" s="432"/>
      <c r="L70" s="464"/>
      <c r="M70" s="444"/>
      <c r="N70" s="447"/>
      <c r="O70" s="432"/>
      <c r="P70" s="444"/>
      <c r="Q70" s="432"/>
    </row>
    <row r="71" spans="1:17" s="310" customFormat="1" ht="27" customHeight="1" x14ac:dyDescent="0.2">
      <c r="A71" s="296"/>
      <c r="B71" s="440"/>
      <c r="C71" s="480"/>
      <c r="D71" s="448"/>
      <c r="E71" s="307"/>
      <c r="F71" s="446"/>
      <c r="G71" s="309"/>
      <c r="H71" s="466"/>
      <c r="I71" s="432"/>
      <c r="J71" s="432"/>
      <c r="K71" s="496"/>
      <c r="L71" s="432"/>
      <c r="M71" s="432"/>
      <c r="N71" s="447"/>
      <c r="O71" s="432"/>
      <c r="P71" s="444"/>
      <c r="Q71" s="432"/>
    </row>
    <row r="72" spans="1:17" s="310" customFormat="1" ht="27" customHeight="1" x14ac:dyDescent="0.2">
      <c r="A72" s="572">
        <v>7</v>
      </c>
      <c r="B72" s="656" t="s">
        <v>407</v>
      </c>
      <c r="C72" s="650">
        <v>1000000</v>
      </c>
      <c r="D72" s="658"/>
      <c r="E72" s="616"/>
      <c r="F72" s="651" t="s">
        <v>399</v>
      </c>
      <c r="G72" s="618" t="s">
        <v>401</v>
      </c>
      <c r="H72" s="659"/>
      <c r="I72" s="590">
        <f>SUM(H73:H74)</f>
        <v>980790</v>
      </c>
      <c r="J72" s="590"/>
      <c r="K72" s="655">
        <v>1000000</v>
      </c>
      <c r="L72" s="590">
        <f>SUM(C65)</f>
        <v>1000000</v>
      </c>
      <c r="M72" s="590"/>
      <c r="N72" s="620"/>
      <c r="O72" s="590"/>
      <c r="P72" s="589"/>
      <c r="Q72" s="590">
        <f>SUM(C72-I72)</f>
        <v>19210</v>
      </c>
    </row>
    <row r="73" spans="1:17" s="310" customFormat="1" ht="27" customHeight="1" x14ac:dyDescent="0.2">
      <c r="A73" s="296"/>
      <c r="B73" s="440" t="s">
        <v>616</v>
      </c>
      <c r="C73" s="480"/>
      <c r="D73" s="448"/>
      <c r="E73" s="307"/>
      <c r="F73" s="446"/>
      <c r="G73" s="309"/>
      <c r="H73" s="466">
        <v>622500</v>
      </c>
      <c r="I73" s="432"/>
      <c r="J73" s="432"/>
      <c r="K73" s="432"/>
      <c r="L73" s="432"/>
      <c r="M73" s="432"/>
      <c r="N73" s="447"/>
      <c r="O73" s="432"/>
      <c r="P73" s="444"/>
      <c r="Q73" s="432"/>
    </row>
    <row r="74" spans="1:17" s="310" customFormat="1" ht="27" customHeight="1" x14ac:dyDescent="0.2">
      <c r="A74" s="296"/>
      <c r="B74" s="440" t="s">
        <v>679</v>
      </c>
      <c r="C74" s="480"/>
      <c r="D74" s="448"/>
      <c r="E74" s="307"/>
      <c r="F74" s="446"/>
      <c r="G74" s="309"/>
      <c r="H74" s="466">
        <f>355300+2990</f>
        <v>358290</v>
      </c>
      <c r="I74" s="432"/>
      <c r="J74" s="432"/>
      <c r="K74" s="432"/>
      <c r="L74" s="647"/>
      <c r="M74" s="432"/>
      <c r="N74" s="447"/>
      <c r="O74" s="432"/>
      <c r="P74" s="444"/>
      <c r="Q74" s="432"/>
    </row>
    <row r="75" spans="1:17" s="310" customFormat="1" ht="27" customHeight="1" x14ac:dyDescent="0.2">
      <c r="A75" s="296"/>
      <c r="B75" s="440" t="s">
        <v>680</v>
      </c>
      <c r="C75" s="480"/>
      <c r="D75" s="448"/>
      <c r="E75" s="307"/>
      <c r="F75" s="446"/>
      <c r="G75" s="309"/>
      <c r="H75" s="466">
        <v>198000</v>
      </c>
      <c r="I75" s="432"/>
      <c r="J75" s="432"/>
      <c r="K75" s="432"/>
      <c r="L75" s="647"/>
      <c r="M75" s="432"/>
      <c r="N75" s="447"/>
      <c r="O75" s="432"/>
      <c r="P75" s="444"/>
      <c r="Q75" s="432"/>
    </row>
    <row r="76" spans="1:17" s="310" customFormat="1" ht="27" customHeight="1" x14ac:dyDescent="0.2">
      <c r="A76" s="296"/>
      <c r="B76" s="440"/>
      <c r="C76" s="480"/>
      <c r="D76" s="448"/>
      <c r="E76" s="307"/>
      <c r="F76" s="446"/>
      <c r="G76" s="309"/>
      <c r="H76" s="466"/>
      <c r="I76" s="432"/>
      <c r="J76" s="432"/>
      <c r="K76" s="432"/>
      <c r="L76" s="432"/>
      <c r="M76" s="432"/>
      <c r="N76" s="447"/>
      <c r="O76" s="432"/>
      <c r="P76" s="444"/>
      <c r="Q76" s="432"/>
    </row>
    <row r="77" spans="1:17" s="310" customFormat="1" ht="27" customHeight="1" x14ac:dyDescent="0.2">
      <c r="A77" s="572">
        <v>9</v>
      </c>
      <c r="B77" s="656" t="s">
        <v>408</v>
      </c>
      <c r="C77" s="650">
        <v>400000</v>
      </c>
      <c r="D77" s="573"/>
      <c r="E77" s="616"/>
      <c r="F77" s="651" t="s">
        <v>399</v>
      </c>
      <c r="G77" s="618" t="s">
        <v>401</v>
      </c>
      <c r="H77" s="660"/>
      <c r="I77" s="590"/>
      <c r="J77" s="590"/>
      <c r="K77" s="655">
        <v>400000</v>
      </c>
      <c r="L77" s="655">
        <v>400000</v>
      </c>
      <c r="M77" s="590"/>
      <c r="N77" s="620"/>
      <c r="O77" s="590"/>
      <c r="P77" s="589"/>
      <c r="Q77" s="590">
        <v>400000</v>
      </c>
    </row>
    <row r="78" spans="1:17" s="310" customFormat="1" ht="27" customHeight="1" x14ac:dyDescent="0.2">
      <c r="A78" s="296"/>
      <c r="B78" s="440"/>
      <c r="C78" s="480"/>
      <c r="D78" s="297"/>
      <c r="E78" s="307"/>
      <c r="F78" s="446"/>
      <c r="G78" s="309"/>
      <c r="H78" s="467"/>
      <c r="I78" s="432"/>
      <c r="J78" s="432"/>
      <c r="K78" s="496"/>
      <c r="L78" s="496"/>
      <c r="M78" s="432"/>
      <c r="N78" s="447"/>
      <c r="O78" s="432"/>
      <c r="P78" s="444"/>
      <c r="Q78" s="432"/>
    </row>
    <row r="79" spans="1:17" s="310" customFormat="1" ht="27" customHeight="1" x14ac:dyDescent="0.2">
      <c r="A79" s="296"/>
      <c r="B79" s="440"/>
      <c r="C79" s="480"/>
      <c r="D79" s="297"/>
      <c r="E79" s="307"/>
      <c r="F79" s="446"/>
      <c r="G79" s="309"/>
      <c r="H79" s="467"/>
      <c r="I79" s="432"/>
      <c r="J79" s="432"/>
      <c r="K79" s="496"/>
      <c r="L79" s="496"/>
      <c r="M79" s="432"/>
      <c r="N79" s="447"/>
      <c r="O79" s="432"/>
      <c r="P79" s="444"/>
      <c r="Q79" s="432"/>
    </row>
    <row r="80" spans="1:17" s="310" customFormat="1" ht="27" customHeight="1" x14ac:dyDescent="0.2">
      <c r="A80" s="572">
        <v>10</v>
      </c>
      <c r="B80" s="573" t="s">
        <v>608</v>
      </c>
      <c r="C80" s="650">
        <v>1950000</v>
      </c>
      <c r="D80" s="573"/>
      <c r="E80" s="616"/>
      <c r="F80" s="607" t="s">
        <v>369</v>
      </c>
      <c r="G80" s="618" t="s">
        <v>388</v>
      </c>
      <c r="H80" s="612"/>
      <c r="I80" s="590"/>
      <c r="J80" s="590"/>
      <c r="K80" s="655">
        <v>1950000</v>
      </c>
      <c r="L80" s="655">
        <v>1950000</v>
      </c>
      <c r="M80" s="590" t="s">
        <v>410</v>
      </c>
      <c r="N80" s="620"/>
      <c r="O80" s="590"/>
      <c r="P80" s="589"/>
      <c r="Q80" s="590">
        <v>1950000</v>
      </c>
    </row>
    <row r="81" spans="1:17" s="310" customFormat="1" ht="27" customHeight="1" x14ac:dyDescent="0.2">
      <c r="A81" s="296"/>
      <c r="B81" s="297"/>
      <c r="C81" s="480"/>
      <c r="D81" s="297"/>
      <c r="E81" s="307"/>
      <c r="F81" s="303"/>
      <c r="G81" s="309"/>
      <c r="H81" s="459"/>
      <c r="I81" s="432"/>
      <c r="J81" s="432"/>
      <c r="K81" s="496"/>
      <c r="L81" s="496"/>
      <c r="M81" s="432"/>
      <c r="N81" s="447"/>
      <c r="O81" s="432"/>
      <c r="P81" s="444"/>
      <c r="Q81" s="432"/>
    </row>
    <row r="82" spans="1:17" s="310" customFormat="1" ht="27" customHeight="1" x14ac:dyDescent="0.2">
      <c r="A82" s="572">
        <v>11</v>
      </c>
      <c r="B82" s="573" t="s">
        <v>411</v>
      </c>
      <c r="C82" s="650">
        <v>4500000</v>
      </c>
      <c r="D82" s="615"/>
      <c r="E82" s="616"/>
      <c r="F82" s="617" t="s">
        <v>390</v>
      </c>
      <c r="G82" s="618" t="s">
        <v>391</v>
      </c>
      <c r="H82" s="612"/>
      <c r="I82" s="590"/>
      <c r="J82" s="590"/>
      <c r="K82" s="655">
        <v>4500000</v>
      </c>
      <c r="L82" s="655">
        <v>4500000</v>
      </c>
      <c r="M82" s="590" t="s">
        <v>567</v>
      </c>
      <c r="N82" s="620"/>
      <c r="O82" s="590"/>
      <c r="P82" s="589"/>
      <c r="Q82" s="590">
        <v>4500000</v>
      </c>
    </row>
    <row r="83" spans="1:17" s="310" customFormat="1" ht="27" customHeight="1" x14ac:dyDescent="0.2">
      <c r="A83" s="296"/>
      <c r="B83" s="297"/>
      <c r="C83" s="480"/>
      <c r="D83" s="313"/>
      <c r="E83" s="307"/>
      <c r="F83" s="308"/>
      <c r="G83" s="309"/>
      <c r="H83" s="459"/>
      <c r="I83" s="432"/>
      <c r="J83" s="432"/>
      <c r="K83" s="496"/>
      <c r="L83" s="496"/>
      <c r="M83" s="432"/>
      <c r="N83" s="447"/>
      <c r="O83" s="432"/>
      <c r="P83" s="444"/>
      <c r="Q83" s="432"/>
    </row>
    <row r="84" spans="1:17" s="310" customFormat="1" ht="27" customHeight="1" x14ac:dyDescent="0.2">
      <c r="A84" s="572">
        <v>12</v>
      </c>
      <c r="B84" s="617" t="s">
        <v>412</v>
      </c>
      <c r="C84" s="650">
        <v>100000</v>
      </c>
      <c r="D84" s="667"/>
      <c r="E84" s="616"/>
      <c r="F84" s="607" t="s">
        <v>413</v>
      </c>
      <c r="G84" s="618" t="s">
        <v>388</v>
      </c>
      <c r="H84" s="668"/>
      <c r="I84" s="590"/>
      <c r="J84" s="590"/>
      <c r="K84" s="655">
        <v>100000</v>
      </c>
      <c r="L84" s="655">
        <v>100000</v>
      </c>
      <c r="M84" s="590">
        <v>200000</v>
      </c>
      <c r="N84" s="620"/>
      <c r="O84" s="590"/>
      <c r="P84" s="589"/>
      <c r="Q84" s="590">
        <v>100000</v>
      </c>
    </row>
    <row r="85" spans="1:17" s="310" customFormat="1" ht="27" customHeight="1" x14ac:dyDescent="0.2">
      <c r="A85" s="296"/>
      <c r="B85" s="308"/>
      <c r="C85" s="480"/>
      <c r="D85" s="661"/>
      <c r="E85" s="307"/>
      <c r="F85" s="303"/>
      <c r="G85" s="309"/>
      <c r="H85" s="470"/>
      <c r="I85" s="432"/>
      <c r="J85" s="432"/>
      <c r="K85" s="496"/>
      <c r="L85" s="496"/>
      <c r="M85" s="432"/>
      <c r="N85" s="447"/>
      <c r="O85" s="432"/>
      <c r="P85" s="444"/>
      <c r="Q85" s="432"/>
    </row>
    <row r="86" spans="1:17" s="310" customFormat="1" ht="27" customHeight="1" x14ac:dyDescent="0.2">
      <c r="A86" s="572">
        <v>13</v>
      </c>
      <c r="B86" s="607" t="s">
        <v>414</v>
      </c>
      <c r="C86" s="650">
        <v>500000</v>
      </c>
      <c r="D86" s="620"/>
      <c r="E86" s="616"/>
      <c r="F86" s="607" t="s">
        <v>415</v>
      </c>
      <c r="G86" s="618" t="s">
        <v>388</v>
      </c>
      <c r="H86" s="669">
        <v>495000</v>
      </c>
      <c r="I86" s="590">
        <v>495000</v>
      </c>
      <c r="J86" s="590"/>
      <c r="K86" s="590">
        <v>500000</v>
      </c>
      <c r="L86" s="590"/>
      <c r="M86" s="590"/>
      <c r="N86" s="670">
        <f>SUM(C86-K86)</f>
        <v>0</v>
      </c>
      <c r="O86" s="590"/>
      <c r="P86" s="589"/>
      <c r="Q86" s="590">
        <f>SUM(C86-I86)</f>
        <v>5000</v>
      </c>
    </row>
    <row r="87" spans="1:17" s="310" customFormat="1" ht="27" customHeight="1" x14ac:dyDescent="0.2">
      <c r="A87" s="296"/>
      <c r="B87" s="303"/>
      <c r="C87" s="480"/>
      <c r="D87" s="447"/>
      <c r="E87" s="307"/>
      <c r="F87" s="303"/>
      <c r="G87" s="309"/>
      <c r="H87" s="469"/>
      <c r="I87" s="432"/>
      <c r="J87" s="432"/>
      <c r="K87" s="432"/>
      <c r="L87" s="432"/>
      <c r="M87" s="432"/>
      <c r="N87" s="495"/>
      <c r="O87" s="432"/>
      <c r="P87" s="444"/>
      <c r="Q87" s="432"/>
    </row>
    <row r="88" spans="1:17" x14ac:dyDescent="0.55000000000000004">
      <c r="A88" s="572">
        <v>14</v>
      </c>
      <c r="B88" s="607" t="s">
        <v>416</v>
      </c>
      <c r="C88" s="622">
        <v>1200000</v>
      </c>
      <c r="D88" s="613"/>
      <c r="E88" s="593"/>
      <c r="F88" s="610" t="s">
        <v>390</v>
      </c>
      <c r="G88" s="611" t="s">
        <v>388</v>
      </c>
      <c r="H88" s="669"/>
      <c r="I88" s="590">
        <f>SUM(H89)</f>
        <v>480000</v>
      </c>
      <c r="J88" s="590"/>
      <c r="K88" s="590">
        <v>1200000</v>
      </c>
      <c r="L88" s="590"/>
      <c r="M88" s="640" t="s">
        <v>568</v>
      </c>
      <c r="N88" s="613"/>
      <c r="O88" s="640"/>
      <c r="P88" s="641"/>
      <c r="Q88" s="640">
        <f>SUM(C88-I88)</f>
        <v>720000</v>
      </c>
    </row>
    <row r="89" spans="1:17" x14ac:dyDescent="0.55000000000000004">
      <c r="A89" s="296"/>
      <c r="B89" s="303" t="s">
        <v>614</v>
      </c>
      <c r="C89" s="479"/>
      <c r="D89" s="325"/>
      <c r="E89" s="311"/>
      <c r="F89" s="305"/>
      <c r="G89" s="301"/>
      <c r="H89" s="469">
        <v>480000</v>
      </c>
      <c r="I89" s="432">
        <v>0</v>
      </c>
      <c r="J89" s="432"/>
      <c r="K89" s="432"/>
      <c r="L89" s="432">
        <v>480000</v>
      </c>
      <c r="M89" s="328"/>
      <c r="N89" s="453">
        <f>SUM(C88-L89)</f>
        <v>720000</v>
      </c>
      <c r="O89" s="328"/>
      <c r="P89" s="643"/>
      <c r="Q89" s="328"/>
    </row>
    <row r="90" spans="1:17" x14ac:dyDescent="0.55000000000000004">
      <c r="A90" s="296"/>
      <c r="B90" s="303"/>
      <c r="C90" s="479"/>
      <c r="D90" s="325"/>
      <c r="E90" s="311"/>
      <c r="F90" s="305"/>
      <c r="G90" s="301"/>
      <c r="H90" s="469"/>
      <c r="I90" s="432"/>
      <c r="J90" s="432"/>
      <c r="K90" s="432"/>
      <c r="L90" s="432"/>
      <c r="M90" s="328"/>
      <c r="N90" s="453"/>
      <c r="O90" s="328"/>
      <c r="P90" s="643"/>
      <c r="Q90" s="328"/>
    </row>
    <row r="91" spans="1:17" ht="23.25" customHeight="1" x14ac:dyDescent="0.55000000000000004">
      <c r="A91" s="570">
        <v>16</v>
      </c>
      <c r="B91" s="663" t="s">
        <v>417</v>
      </c>
      <c r="C91" s="688">
        <v>300000</v>
      </c>
      <c r="D91" s="678"/>
      <c r="E91" s="673"/>
      <c r="F91" s="682" t="s">
        <v>390</v>
      </c>
      <c r="G91" s="675" t="s">
        <v>370</v>
      </c>
      <c r="H91" s="687"/>
      <c r="I91" s="665"/>
      <c r="J91" s="665"/>
      <c r="K91" s="690">
        <v>300000</v>
      </c>
      <c r="L91" s="665"/>
      <c r="M91" s="677"/>
      <c r="N91" s="678"/>
      <c r="O91" s="677"/>
      <c r="P91" s="679"/>
      <c r="Q91" s="690">
        <v>300000</v>
      </c>
    </row>
    <row r="92" spans="1:17" ht="23.25" customHeight="1" x14ac:dyDescent="0.55000000000000004">
      <c r="A92" s="296"/>
      <c r="B92" s="308"/>
      <c r="C92" s="479"/>
      <c r="D92" s="325"/>
      <c r="E92" s="311"/>
      <c r="F92" s="305"/>
      <c r="G92" s="301"/>
      <c r="H92" s="470"/>
      <c r="I92" s="432"/>
      <c r="J92" s="432"/>
      <c r="K92" s="492"/>
      <c r="L92" s="432"/>
      <c r="M92" s="328"/>
      <c r="N92" s="325"/>
      <c r="O92" s="328"/>
      <c r="P92" s="643"/>
      <c r="Q92" s="492"/>
    </row>
    <row r="93" spans="1:17" x14ac:dyDescent="0.55000000000000004">
      <c r="A93" s="570">
        <v>17</v>
      </c>
      <c r="B93" s="663" t="s">
        <v>418</v>
      </c>
      <c r="C93" s="688">
        <v>100000</v>
      </c>
      <c r="D93" s="678"/>
      <c r="E93" s="673"/>
      <c r="F93" s="674" t="s">
        <v>419</v>
      </c>
      <c r="G93" s="675" t="s">
        <v>420</v>
      </c>
      <c r="H93" s="687"/>
      <c r="I93" s="665"/>
      <c r="J93" s="665"/>
      <c r="K93" s="690">
        <v>100000</v>
      </c>
      <c r="L93" s="665"/>
      <c r="M93" s="677"/>
      <c r="N93" s="678"/>
      <c r="O93" s="677"/>
      <c r="P93" s="679"/>
      <c r="Q93" s="690">
        <v>100000</v>
      </c>
    </row>
    <row r="94" spans="1:17" x14ac:dyDescent="0.55000000000000004">
      <c r="A94" s="296"/>
      <c r="B94" s="308"/>
      <c r="C94" s="479"/>
      <c r="D94" s="325"/>
      <c r="E94" s="311"/>
      <c r="F94" s="312"/>
      <c r="G94" s="301"/>
      <c r="H94" s="470"/>
      <c r="I94" s="432"/>
      <c r="J94" s="432"/>
      <c r="K94" s="492"/>
      <c r="L94" s="432"/>
      <c r="M94" s="328"/>
      <c r="N94" s="325"/>
      <c r="O94" s="328"/>
      <c r="P94" s="643"/>
      <c r="Q94" s="492"/>
    </row>
    <row r="95" spans="1:17" ht="24" customHeight="1" x14ac:dyDescent="0.55000000000000004">
      <c r="A95" s="570">
        <v>18</v>
      </c>
      <c r="B95" s="571" t="s">
        <v>421</v>
      </c>
      <c r="C95" s="688">
        <v>150000</v>
      </c>
      <c r="D95" s="678"/>
      <c r="E95" s="673"/>
      <c r="F95" s="674" t="s">
        <v>422</v>
      </c>
      <c r="G95" s="675" t="s">
        <v>370</v>
      </c>
      <c r="H95" s="689"/>
      <c r="I95" s="665"/>
      <c r="J95" s="665"/>
      <c r="K95" s="690">
        <v>150000</v>
      </c>
      <c r="L95" s="665"/>
      <c r="M95" s="677"/>
      <c r="N95" s="678"/>
      <c r="O95" s="677"/>
      <c r="P95" s="679"/>
      <c r="Q95" s="690">
        <v>150000</v>
      </c>
    </row>
    <row r="96" spans="1:17" ht="24" customHeight="1" x14ac:dyDescent="0.55000000000000004">
      <c r="A96" s="296"/>
      <c r="B96" s="297"/>
      <c r="C96" s="479"/>
      <c r="D96" s="325"/>
      <c r="E96" s="311"/>
      <c r="F96" s="312"/>
      <c r="G96" s="301"/>
      <c r="H96" s="469"/>
      <c r="I96" s="432"/>
      <c r="J96" s="432"/>
      <c r="K96" s="492"/>
      <c r="L96" s="432"/>
      <c r="M96" s="328"/>
      <c r="N96" s="325"/>
      <c r="O96" s="328"/>
      <c r="P96" s="643"/>
      <c r="Q96" s="492"/>
    </row>
    <row r="97" spans="1:19" ht="26.25" customHeight="1" x14ac:dyDescent="0.55000000000000004">
      <c r="A97" s="570">
        <v>19</v>
      </c>
      <c r="B97" s="571" t="s">
        <v>423</v>
      </c>
      <c r="C97" s="688">
        <v>300000</v>
      </c>
      <c r="D97" s="678"/>
      <c r="E97" s="673"/>
      <c r="F97" s="682" t="s">
        <v>390</v>
      </c>
      <c r="G97" s="675" t="s">
        <v>370</v>
      </c>
      <c r="H97" s="689"/>
      <c r="I97" s="665"/>
      <c r="J97" s="665"/>
      <c r="K97" s="690">
        <v>300000</v>
      </c>
      <c r="L97" s="665"/>
      <c r="M97" s="677"/>
      <c r="N97" s="678"/>
      <c r="O97" s="677"/>
      <c r="P97" s="679"/>
      <c r="Q97" s="690">
        <v>300000</v>
      </c>
    </row>
    <row r="98" spans="1:19" ht="26.25" customHeight="1" x14ac:dyDescent="0.55000000000000004">
      <c r="A98" s="296"/>
      <c r="B98" s="297"/>
      <c r="C98" s="479"/>
      <c r="D98" s="325"/>
      <c r="E98" s="311"/>
      <c r="F98" s="305"/>
      <c r="G98" s="301"/>
      <c r="H98" s="469"/>
      <c r="I98" s="432"/>
      <c r="J98" s="432"/>
      <c r="K98" s="492"/>
      <c r="L98" s="432"/>
      <c r="M98" s="328"/>
      <c r="N98" s="325"/>
      <c r="O98" s="328"/>
      <c r="P98" s="643"/>
      <c r="Q98" s="492"/>
    </row>
    <row r="99" spans="1:19" x14ac:dyDescent="0.55000000000000004">
      <c r="A99" s="570">
        <v>20</v>
      </c>
      <c r="B99" s="663" t="s">
        <v>424</v>
      </c>
      <c r="C99" s="680">
        <v>500000</v>
      </c>
      <c r="D99" s="678"/>
      <c r="E99" s="677"/>
      <c r="F99" s="682" t="s">
        <v>390</v>
      </c>
      <c r="G99" s="664" t="s">
        <v>425</v>
      </c>
      <c r="H99" s="687"/>
      <c r="I99" s="665"/>
      <c r="J99" s="665"/>
      <c r="K99" s="684">
        <v>500000</v>
      </c>
      <c r="L99" s="665"/>
      <c r="M99" s="677" t="s">
        <v>569</v>
      </c>
      <c r="N99" s="678"/>
      <c r="O99" s="677"/>
      <c r="P99" s="679"/>
      <c r="Q99" s="684">
        <v>500000</v>
      </c>
    </row>
    <row r="100" spans="1:19" x14ac:dyDescent="0.55000000000000004">
      <c r="A100" s="296"/>
      <c r="B100" s="308"/>
      <c r="C100" s="484"/>
      <c r="D100" s="326"/>
      <c r="E100" s="328"/>
      <c r="F100" s="305"/>
      <c r="G100" s="309"/>
      <c r="H100" s="470"/>
      <c r="I100" s="432"/>
      <c r="J100" s="432"/>
      <c r="K100" s="493"/>
      <c r="L100" s="432"/>
      <c r="M100" s="328"/>
      <c r="N100" s="325"/>
      <c r="O100" s="328"/>
      <c r="P100" s="643"/>
      <c r="Q100" s="493"/>
    </row>
    <row r="101" spans="1:19" ht="22.5" customHeight="1" x14ac:dyDescent="0.55000000000000004">
      <c r="A101" s="570">
        <v>21</v>
      </c>
      <c r="B101" s="663" t="s">
        <v>426</v>
      </c>
      <c r="C101" s="685">
        <v>150000</v>
      </c>
      <c r="D101" s="681"/>
      <c r="E101" s="677"/>
      <c r="F101" s="682" t="s">
        <v>372</v>
      </c>
      <c r="G101" s="664" t="s">
        <v>427</v>
      </c>
      <c r="H101" s="683"/>
      <c r="I101" s="665"/>
      <c r="J101" s="665"/>
      <c r="K101" s="686">
        <v>150000</v>
      </c>
      <c r="L101" s="665"/>
      <c r="M101" s="677"/>
      <c r="N101" s="678"/>
      <c r="O101" s="677"/>
      <c r="P101" s="679"/>
      <c r="Q101" s="686">
        <v>150000</v>
      </c>
    </row>
    <row r="102" spans="1:19" ht="22.5" customHeight="1" x14ac:dyDescent="0.55000000000000004">
      <c r="A102" s="296"/>
      <c r="B102" s="308"/>
      <c r="C102" s="485"/>
      <c r="D102" s="326"/>
      <c r="E102" s="328"/>
      <c r="F102" s="305"/>
      <c r="G102" s="309"/>
      <c r="H102" s="468"/>
      <c r="I102" s="432"/>
      <c r="J102" s="432"/>
      <c r="K102" s="494"/>
      <c r="L102" s="432"/>
      <c r="M102" s="328"/>
      <c r="N102" s="325"/>
      <c r="O102" s="328"/>
      <c r="P102" s="643"/>
      <c r="Q102" s="494"/>
    </row>
    <row r="103" spans="1:19" x14ac:dyDescent="0.55000000000000004">
      <c r="A103" s="570">
        <v>22</v>
      </c>
      <c r="B103" s="663" t="s">
        <v>428</v>
      </c>
      <c r="C103" s="680">
        <v>500000</v>
      </c>
      <c r="D103" s="681"/>
      <c r="E103" s="677"/>
      <c r="F103" s="682" t="s">
        <v>366</v>
      </c>
      <c r="G103" s="675" t="s">
        <v>429</v>
      </c>
      <c r="H103" s="683"/>
      <c r="I103" s="665"/>
      <c r="J103" s="665"/>
      <c r="K103" s="684">
        <v>500000</v>
      </c>
      <c r="L103" s="665"/>
      <c r="M103" s="677"/>
      <c r="N103" s="678"/>
      <c r="O103" s="677"/>
      <c r="P103" s="679"/>
      <c r="Q103" s="684">
        <v>500000</v>
      </c>
    </row>
    <row r="104" spans="1:19" x14ac:dyDescent="0.55000000000000004">
      <c r="A104" s="296"/>
      <c r="B104" s="308"/>
      <c r="C104" s="484"/>
      <c r="D104" s="326"/>
      <c r="E104" s="328"/>
      <c r="F104" s="305"/>
      <c r="G104" s="301"/>
      <c r="H104" s="468"/>
      <c r="I104" s="432"/>
      <c r="J104" s="432"/>
      <c r="K104" s="493"/>
      <c r="L104" s="432"/>
      <c r="M104" s="328"/>
      <c r="N104" s="325"/>
      <c r="O104" s="328"/>
      <c r="P104" s="643"/>
      <c r="Q104" s="493"/>
    </row>
    <row r="105" spans="1:19" x14ac:dyDescent="0.55000000000000004">
      <c r="A105" s="570">
        <v>23</v>
      </c>
      <c r="B105" s="663" t="s">
        <v>430</v>
      </c>
      <c r="C105" s="680">
        <v>800000</v>
      </c>
      <c r="D105" s="681"/>
      <c r="E105" s="677"/>
      <c r="F105" s="682" t="s">
        <v>390</v>
      </c>
      <c r="G105" s="664" t="s">
        <v>431</v>
      </c>
      <c r="H105" s="683">
        <v>385000</v>
      </c>
      <c r="I105" s="665">
        <v>385000</v>
      </c>
      <c r="J105" s="665"/>
      <c r="K105" s="665">
        <v>800000</v>
      </c>
      <c r="L105" s="665"/>
      <c r="M105" s="677"/>
      <c r="N105" s="678"/>
      <c r="O105" s="677"/>
      <c r="P105" s="679"/>
      <c r="Q105" s="684">
        <v>800000</v>
      </c>
    </row>
    <row r="106" spans="1:19" x14ac:dyDescent="0.55000000000000004">
      <c r="A106" s="296"/>
      <c r="B106" s="308"/>
      <c r="C106" s="484"/>
      <c r="D106" s="326"/>
      <c r="E106" s="328"/>
      <c r="F106" s="305"/>
      <c r="G106" s="309"/>
      <c r="H106" s="471"/>
      <c r="I106" s="432"/>
      <c r="J106" s="432"/>
      <c r="K106" s="432"/>
      <c r="L106" s="432"/>
      <c r="M106" s="328"/>
      <c r="N106" s="325"/>
      <c r="O106" s="328"/>
      <c r="P106" s="643"/>
      <c r="Q106" s="493"/>
    </row>
    <row r="107" spans="1:19" ht="26.25" customHeight="1" x14ac:dyDescent="0.55000000000000004">
      <c r="A107" s="570">
        <v>24</v>
      </c>
      <c r="B107" s="663" t="s">
        <v>432</v>
      </c>
      <c r="C107" s="662">
        <f>10116193.77-2290000-800000</f>
        <v>7026193.7699999996</v>
      </c>
      <c r="D107" s="672"/>
      <c r="E107" s="673"/>
      <c r="F107" s="674" t="s">
        <v>433</v>
      </c>
      <c r="G107" s="675" t="s">
        <v>434</v>
      </c>
      <c r="H107" s="676"/>
      <c r="I107" s="665"/>
      <c r="J107" s="665"/>
      <c r="K107" s="665">
        <f>SUM(C107)</f>
        <v>7026193.7699999996</v>
      </c>
      <c r="L107" s="665"/>
      <c r="M107" s="677"/>
      <c r="N107" s="678"/>
      <c r="O107" s="677"/>
      <c r="P107" s="679"/>
      <c r="Q107" s="666">
        <f>10116193.77-2290000-800000</f>
        <v>7026193.7699999996</v>
      </c>
    </row>
    <row r="108" spans="1:19" x14ac:dyDescent="0.55000000000000004">
      <c r="A108" s="296"/>
      <c r="B108" s="297"/>
      <c r="C108" s="486">
        <f>SUM(C48:C107)</f>
        <v>28976193.77</v>
      </c>
      <c r="D108" s="340" t="s">
        <v>435</v>
      </c>
      <c r="E108" s="342"/>
      <c r="F108" s="331"/>
      <c r="G108" s="332"/>
      <c r="H108" s="472">
        <f>SUM(H48:H107)</f>
        <v>6465481</v>
      </c>
      <c r="I108" s="472">
        <f>SUM(I48:I107)</f>
        <v>5855621</v>
      </c>
      <c r="J108" s="472"/>
      <c r="K108" s="472">
        <f>SUM(K48:K107)</f>
        <v>28976193.77</v>
      </c>
      <c r="L108" s="432"/>
      <c r="M108" s="328"/>
      <c r="N108" s="325"/>
      <c r="O108" s="328">
        <f>SUM(O48:O107)</f>
        <v>411860</v>
      </c>
      <c r="P108" s="328">
        <f t="shared" ref="P108:Q108" si="1">SUM(P48:P107)</f>
        <v>-357866</v>
      </c>
      <c r="Q108" s="328">
        <f t="shared" si="1"/>
        <v>23863438.77</v>
      </c>
      <c r="R108" s="450">
        <f>SUM(O108+Q108)</f>
        <v>24275298.77</v>
      </c>
      <c r="S108" s="362" t="s">
        <v>620</v>
      </c>
    </row>
    <row r="109" spans="1:19" x14ac:dyDescent="0.55000000000000004">
      <c r="B109" s="437" t="s">
        <v>575</v>
      </c>
      <c r="C109" s="487">
        <f>SUM(C45+C108)</f>
        <v>43853193.769999996</v>
      </c>
      <c r="D109" s="487" t="e">
        <f>SUM(D45+D108)</f>
        <v>#VALUE!</v>
      </c>
      <c r="E109" s="487">
        <f>SUM(E45+E108)</f>
        <v>0</v>
      </c>
      <c r="F109" s="487">
        <f>SUM(F45+F108)</f>
        <v>0</v>
      </c>
      <c r="G109" s="487">
        <f>SUM(G45+G108)</f>
        <v>0</v>
      </c>
      <c r="H109" s="487"/>
      <c r="I109" s="487"/>
      <c r="J109" s="487">
        <f t="shared" ref="J109:Q109" si="2">SUM(J45+J108)</f>
        <v>0</v>
      </c>
      <c r="K109" s="487">
        <f t="shared" si="2"/>
        <v>46278773.769999996</v>
      </c>
      <c r="L109" s="487">
        <f t="shared" si="2"/>
        <v>4918880</v>
      </c>
      <c r="M109" s="487">
        <f t="shared" si="2"/>
        <v>0</v>
      </c>
      <c r="N109" s="487">
        <f t="shared" si="2"/>
        <v>0</v>
      </c>
      <c r="O109" s="487">
        <f t="shared" si="2"/>
        <v>698740</v>
      </c>
      <c r="P109" s="487">
        <f t="shared" si="2"/>
        <v>-2090666</v>
      </c>
      <c r="Q109" s="487">
        <f t="shared" si="2"/>
        <v>25551338.77</v>
      </c>
      <c r="R109" s="671">
        <f>SUM(R45+R108)</f>
        <v>26250078.77</v>
      </c>
      <c r="S109" s="285" t="s">
        <v>683</v>
      </c>
    </row>
    <row r="114" spans="2:3" x14ac:dyDescent="0.55000000000000004">
      <c r="B114" s="310" t="s">
        <v>570</v>
      </c>
    </row>
    <row r="115" spans="2:3" x14ac:dyDescent="0.55000000000000004">
      <c r="B115" s="310" t="s">
        <v>571</v>
      </c>
    </row>
    <row r="116" spans="2:3" x14ac:dyDescent="0.55000000000000004">
      <c r="B116" s="310" t="s">
        <v>572</v>
      </c>
    </row>
    <row r="118" spans="2:3" ht="30.75" x14ac:dyDescent="0.55000000000000004">
      <c r="B118" s="497" t="s">
        <v>618</v>
      </c>
    </row>
    <row r="119" spans="2:3" x14ac:dyDescent="0.55000000000000004">
      <c r="B119" s="310" t="s">
        <v>586</v>
      </c>
      <c r="C119" s="489">
        <v>117700</v>
      </c>
    </row>
    <row r="120" spans="2:3" x14ac:dyDescent="0.55000000000000004">
      <c r="B120" s="310" t="s">
        <v>592</v>
      </c>
      <c r="C120" s="489">
        <v>75800</v>
      </c>
    </row>
    <row r="121" spans="2:3" x14ac:dyDescent="0.55000000000000004">
      <c r="B121" s="310" t="s">
        <v>611</v>
      </c>
      <c r="C121" s="489">
        <v>68000</v>
      </c>
    </row>
    <row r="122" spans="2:3" x14ac:dyDescent="0.55000000000000004">
      <c r="B122" s="310" t="s">
        <v>617</v>
      </c>
      <c r="C122" s="489">
        <v>60000</v>
      </c>
    </row>
    <row r="123" spans="2:3" x14ac:dyDescent="0.55000000000000004">
      <c r="C123" s="489"/>
    </row>
    <row r="124" spans="2:3" x14ac:dyDescent="0.55000000000000004">
      <c r="C124" s="489"/>
    </row>
    <row r="125" spans="2:3" x14ac:dyDescent="0.55000000000000004">
      <c r="B125" s="310" t="s">
        <v>615</v>
      </c>
      <c r="C125" s="450">
        <v>1358000</v>
      </c>
    </row>
    <row r="126" spans="2:3" x14ac:dyDescent="0.55000000000000004">
      <c r="C126" s="489"/>
    </row>
    <row r="127" spans="2:3" x14ac:dyDescent="0.55000000000000004">
      <c r="C127" s="489"/>
    </row>
    <row r="128" spans="2:3" x14ac:dyDescent="0.55000000000000004">
      <c r="C128" s="489"/>
    </row>
    <row r="129" spans="3:3" x14ac:dyDescent="0.55000000000000004">
      <c r="C129" s="489"/>
    </row>
    <row r="130" spans="3:3" x14ac:dyDescent="0.55000000000000004">
      <c r="C130" s="489"/>
    </row>
    <row r="131" spans="3:3" x14ac:dyDescent="0.55000000000000004">
      <c r="C131" s="489"/>
    </row>
    <row r="132" spans="3:3" x14ac:dyDescent="0.55000000000000004">
      <c r="C132" s="489"/>
    </row>
    <row r="133" spans="3:3" x14ac:dyDescent="0.55000000000000004">
      <c r="C133" s="489"/>
    </row>
  </sheetData>
  <mergeCells count="1">
    <mergeCell ref="C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topLeftCell="A25" workbookViewId="0">
      <selection activeCell="H21" sqref="H21"/>
    </sheetView>
  </sheetViews>
  <sheetFormatPr defaultColWidth="10.28515625" defaultRowHeight="23.25" x14ac:dyDescent="0.55000000000000004"/>
  <cols>
    <col min="1" max="1" width="5.85546875" style="333" bestFit="1" customWidth="1"/>
    <col min="2" max="2" width="57.28515625" style="310" bestFit="1" customWidth="1"/>
    <col min="3" max="3" width="16.42578125" style="285" bestFit="1" customWidth="1"/>
    <col min="4" max="4" width="14.5703125" style="285" customWidth="1"/>
    <col min="5" max="5" width="20.7109375" style="285" customWidth="1"/>
    <col min="6" max="6" width="21.7109375" style="338" bestFit="1" customWidth="1"/>
    <col min="7" max="7" width="44.85546875" style="339" hidden="1" customWidth="1"/>
    <col min="8" max="8" width="18.42578125" style="532" customWidth="1"/>
    <col min="9" max="9" width="13.7109375" style="533" customWidth="1"/>
    <col min="10" max="10" width="18.7109375" style="533" customWidth="1"/>
    <col min="11" max="11" width="15.28515625" style="285" bestFit="1" customWidth="1"/>
    <col min="12" max="12" width="10.28515625" style="285"/>
    <col min="13" max="13" width="16.28515625" style="285" customWidth="1"/>
    <col min="14" max="16384" width="10.28515625" style="285"/>
  </cols>
  <sheetData>
    <row r="1" spans="1:11" x14ac:dyDescent="0.55000000000000004">
      <c r="A1" s="716" t="s">
        <v>357</v>
      </c>
      <c r="B1" s="716"/>
      <c r="C1" s="716"/>
      <c r="D1" s="716"/>
      <c r="E1" s="716"/>
      <c r="F1" s="716"/>
      <c r="G1" s="716"/>
    </row>
    <row r="2" spans="1:11" x14ac:dyDescent="0.55000000000000004">
      <c r="A2" s="717" t="s">
        <v>358</v>
      </c>
      <c r="B2" s="717"/>
      <c r="C2" s="717"/>
      <c r="D2" s="717"/>
      <c r="E2" s="717"/>
      <c r="F2" s="717"/>
      <c r="G2" s="717"/>
    </row>
    <row r="3" spans="1:11" s="288" customFormat="1" x14ac:dyDescent="0.2">
      <c r="A3" s="286" t="s">
        <v>0</v>
      </c>
      <c r="B3" s="286" t="s">
        <v>1</v>
      </c>
      <c r="C3" s="718" t="s">
        <v>359</v>
      </c>
      <c r="D3" s="719"/>
      <c r="E3" s="720"/>
      <c r="F3" s="286" t="s">
        <v>360</v>
      </c>
      <c r="G3" s="287" t="s">
        <v>361</v>
      </c>
      <c r="H3" s="534" t="s">
        <v>633</v>
      </c>
      <c r="I3" s="535" t="s">
        <v>634</v>
      </c>
      <c r="J3" s="535" t="s">
        <v>635</v>
      </c>
      <c r="K3" s="536" t="s">
        <v>289</v>
      </c>
    </row>
    <row r="4" spans="1:11" s="295" customFormat="1" x14ac:dyDescent="0.55000000000000004">
      <c r="A4" s="289"/>
      <c r="B4" s="290" t="s">
        <v>362</v>
      </c>
      <c r="C4" s="291" t="s">
        <v>363</v>
      </c>
      <c r="D4" s="291" t="s">
        <v>364</v>
      </c>
      <c r="E4" s="292"/>
      <c r="F4" s="293"/>
      <c r="G4" s="294"/>
      <c r="H4" s="537"/>
      <c r="I4" s="538"/>
      <c r="J4" s="538"/>
      <c r="K4" s="292"/>
    </row>
    <row r="5" spans="1:11" x14ac:dyDescent="0.55000000000000004">
      <c r="A5" s="296">
        <v>1</v>
      </c>
      <c r="B5" s="297" t="s">
        <v>365</v>
      </c>
      <c r="C5" s="298">
        <v>1287000</v>
      </c>
      <c r="D5" s="298" t="s">
        <v>88</v>
      </c>
      <c r="E5" s="299"/>
      <c r="F5" s="300" t="s">
        <v>366</v>
      </c>
      <c r="G5" s="301" t="s">
        <v>367</v>
      </c>
      <c r="H5" s="537">
        <v>1287000</v>
      </c>
      <c r="I5" s="538" t="s">
        <v>636</v>
      </c>
      <c r="J5" s="538" t="s">
        <v>637</v>
      </c>
      <c r="K5" s="311">
        <f>SUM(C5-H5)</f>
        <v>0</v>
      </c>
    </row>
    <row r="6" spans="1:11" ht="46.5" x14ac:dyDescent="0.55000000000000004">
      <c r="A6" s="296">
        <v>2</v>
      </c>
      <c r="B6" s="297" t="s">
        <v>368</v>
      </c>
      <c r="C6" s="298">
        <v>820000</v>
      </c>
      <c r="D6" s="298" t="s">
        <v>88</v>
      </c>
      <c r="E6" s="299"/>
      <c r="F6" s="302" t="s">
        <v>369</v>
      </c>
      <c r="G6" s="301" t="s">
        <v>370</v>
      </c>
      <c r="H6" s="537">
        <v>596500</v>
      </c>
      <c r="I6" s="538" t="s">
        <v>638</v>
      </c>
      <c r="J6" s="538" t="s">
        <v>639</v>
      </c>
      <c r="K6" s="311">
        <f t="shared" ref="K6:K17" si="0">SUM(C6-H6)</f>
        <v>223500</v>
      </c>
    </row>
    <row r="7" spans="1:11" ht="46.5" x14ac:dyDescent="0.55000000000000004">
      <c r="A7" s="296">
        <v>3</v>
      </c>
      <c r="B7" s="297" t="s">
        <v>371</v>
      </c>
      <c r="C7" s="298">
        <v>460000</v>
      </c>
      <c r="D7" s="298" t="s">
        <v>88</v>
      </c>
      <c r="E7" s="299"/>
      <c r="F7" s="300" t="s">
        <v>372</v>
      </c>
      <c r="G7" s="301" t="s">
        <v>373</v>
      </c>
      <c r="H7" s="537">
        <v>360600</v>
      </c>
      <c r="I7" s="538" t="s">
        <v>640</v>
      </c>
      <c r="J7" s="538"/>
      <c r="K7" s="311">
        <f t="shared" si="0"/>
        <v>99400</v>
      </c>
    </row>
    <row r="8" spans="1:11" ht="46.5" x14ac:dyDescent="0.55000000000000004">
      <c r="A8" s="296">
        <v>4</v>
      </c>
      <c r="B8" s="297" t="s">
        <v>374</v>
      </c>
      <c r="C8" s="298">
        <v>500000</v>
      </c>
      <c r="D8" s="298" t="s">
        <v>88</v>
      </c>
      <c r="E8" s="299"/>
      <c r="F8" s="302" t="s">
        <v>375</v>
      </c>
      <c r="G8" s="301" t="s">
        <v>370</v>
      </c>
      <c r="H8" s="537"/>
      <c r="I8" s="538"/>
      <c r="J8" s="538" t="s">
        <v>641</v>
      </c>
      <c r="K8" s="311"/>
    </row>
    <row r="9" spans="1:11" x14ac:dyDescent="0.55000000000000004">
      <c r="A9" s="296">
        <v>5</v>
      </c>
      <c r="B9" s="303" t="s">
        <v>376</v>
      </c>
      <c r="C9" s="304">
        <v>600000</v>
      </c>
      <c r="D9" s="298" t="s">
        <v>88</v>
      </c>
      <c r="E9" s="299"/>
      <c r="F9" s="302" t="s">
        <v>369</v>
      </c>
      <c r="G9" s="301" t="s">
        <v>377</v>
      </c>
      <c r="H9" s="537">
        <v>425000</v>
      </c>
      <c r="I9" s="538" t="s">
        <v>642</v>
      </c>
      <c r="J9" s="538" t="s">
        <v>643</v>
      </c>
      <c r="K9" s="311">
        <f t="shared" si="0"/>
        <v>175000</v>
      </c>
    </row>
    <row r="10" spans="1:11" x14ac:dyDescent="0.55000000000000004">
      <c r="A10" s="296">
        <v>6</v>
      </c>
      <c r="B10" s="303" t="s">
        <v>378</v>
      </c>
      <c r="C10" s="304">
        <v>1000000</v>
      </c>
      <c r="D10" s="298" t="s">
        <v>88</v>
      </c>
      <c r="E10" s="299"/>
      <c r="F10" s="305" t="s">
        <v>379</v>
      </c>
      <c r="G10" s="301" t="s">
        <v>380</v>
      </c>
      <c r="H10" s="537">
        <v>156000</v>
      </c>
      <c r="I10" s="538"/>
      <c r="J10" s="538" t="s">
        <v>644</v>
      </c>
      <c r="K10" s="311">
        <f t="shared" si="0"/>
        <v>844000</v>
      </c>
    </row>
    <row r="11" spans="1:11" x14ac:dyDescent="0.55000000000000004">
      <c r="A11" s="296">
        <v>7</v>
      </c>
      <c r="B11" s="303" t="s">
        <v>381</v>
      </c>
      <c r="C11" s="304">
        <v>500000</v>
      </c>
      <c r="D11" s="298" t="s">
        <v>88</v>
      </c>
      <c r="E11" s="299"/>
      <c r="F11" s="305" t="s">
        <v>379</v>
      </c>
      <c r="G11" s="301" t="s">
        <v>382</v>
      </c>
      <c r="H11" s="537">
        <v>198000</v>
      </c>
      <c r="I11" s="538" t="s">
        <v>645</v>
      </c>
      <c r="J11" s="539">
        <v>23910</v>
      </c>
      <c r="K11" s="311">
        <f t="shared" si="0"/>
        <v>302000</v>
      </c>
    </row>
    <row r="12" spans="1:11" x14ac:dyDescent="0.55000000000000004">
      <c r="A12" s="296">
        <v>8</v>
      </c>
      <c r="B12" s="297" t="s">
        <v>383</v>
      </c>
      <c r="C12" s="304">
        <v>1500000</v>
      </c>
      <c r="D12" s="298" t="s">
        <v>88</v>
      </c>
      <c r="E12" s="299"/>
      <c r="F12" s="305" t="s">
        <v>384</v>
      </c>
      <c r="G12" s="301" t="s">
        <v>385</v>
      </c>
      <c r="H12" s="537"/>
      <c r="I12" s="538"/>
      <c r="J12" s="538"/>
      <c r="K12" s="311"/>
    </row>
    <row r="13" spans="1:11" x14ac:dyDescent="0.55000000000000004">
      <c r="A13" s="296">
        <v>9</v>
      </c>
      <c r="B13" s="297" t="s">
        <v>386</v>
      </c>
      <c r="C13" s="298">
        <v>350000</v>
      </c>
      <c r="D13" s="298" t="s">
        <v>88</v>
      </c>
      <c r="F13" s="302" t="s">
        <v>387</v>
      </c>
      <c r="G13" s="301" t="s">
        <v>388</v>
      </c>
      <c r="H13" s="537">
        <v>280000</v>
      </c>
      <c r="I13" s="538" t="s">
        <v>646</v>
      </c>
      <c r="J13" s="538" t="s">
        <v>647</v>
      </c>
      <c r="K13" s="311">
        <f t="shared" si="0"/>
        <v>70000</v>
      </c>
    </row>
    <row r="14" spans="1:11" s="310" customFormat="1" ht="46.5" x14ac:dyDescent="0.55000000000000004">
      <c r="A14" s="296">
        <v>10</v>
      </c>
      <c r="B14" s="297" t="s">
        <v>389</v>
      </c>
      <c r="C14" s="306">
        <v>1760000</v>
      </c>
      <c r="D14" s="298" t="s">
        <v>88</v>
      </c>
      <c r="E14" s="307"/>
      <c r="F14" s="308" t="s">
        <v>390</v>
      </c>
      <c r="G14" s="309" t="s">
        <v>391</v>
      </c>
      <c r="H14" s="540"/>
      <c r="I14" s="541"/>
      <c r="J14" s="541"/>
      <c r="K14" s="311"/>
    </row>
    <row r="15" spans="1:11" x14ac:dyDescent="0.55000000000000004">
      <c r="A15" s="296">
        <v>11</v>
      </c>
      <c r="B15" s="297" t="s">
        <v>392</v>
      </c>
      <c r="C15" s="311">
        <v>5000000</v>
      </c>
      <c r="D15" s="298" t="s">
        <v>88</v>
      </c>
      <c r="E15" s="299"/>
      <c r="F15" s="312" t="s">
        <v>369</v>
      </c>
      <c r="G15" s="301" t="s">
        <v>388</v>
      </c>
      <c r="H15" s="537"/>
      <c r="I15" s="538"/>
      <c r="J15" s="538" t="s">
        <v>648</v>
      </c>
      <c r="K15" s="311"/>
    </row>
    <row r="16" spans="1:11" x14ac:dyDescent="0.55000000000000004">
      <c r="A16" s="296">
        <v>12</v>
      </c>
      <c r="B16" s="297" t="s">
        <v>393</v>
      </c>
      <c r="C16" s="311">
        <v>300000</v>
      </c>
      <c r="D16" s="298" t="s">
        <v>88</v>
      </c>
      <c r="E16" s="299"/>
      <c r="F16" s="300" t="s">
        <v>372</v>
      </c>
      <c r="G16" s="301" t="s">
        <v>388</v>
      </c>
      <c r="H16" s="537">
        <v>165000</v>
      </c>
      <c r="I16" s="538" t="s">
        <v>649</v>
      </c>
      <c r="J16" s="538" t="s">
        <v>650</v>
      </c>
      <c r="K16" s="311">
        <f t="shared" si="0"/>
        <v>135000</v>
      </c>
    </row>
    <row r="17" spans="1:11" s="310" customFormat="1" ht="46.5" x14ac:dyDescent="0.55000000000000004">
      <c r="A17" s="296">
        <v>13</v>
      </c>
      <c r="B17" s="297" t="s">
        <v>394</v>
      </c>
      <c r="C17" s="307">
        <v>800000</v>
      </c>
      <c r="D17" s="313" t="s">
        <v>88</v>
      </c>
      <c r="F17" s="303" t="s">
        <v>375</v>
      </c>
      <c r="G17" s="309" t="s">
        <v>395</v>
      </c>
      <c r="H17" s="540">
        <f>498000+390000</f>
        <v>888000</v>
      </c>
      <c r="I17" s="541" t="s">
        <v>651</v>
      </c>
      <c r="J17" s="541" t="s">
        <v>652</v>
      </c>
      <c r="K17" s="311">
        <f t="shared" si="0"/>
        <v>-88000</v>
      </c>
    </row>
    <row r="18" spans="1:11" x14ac:dyDescent="0.55000000000000004">
      <c r="A18" s="296"/>
      <c r="B18" s="542" t="s">
        <v>396</v>
      </c>
      <c r="C18" s="543">
        <f>SUM(C5:C17)</f>
        <v>14877000</v>
      </c>
      <c r="D18" s="298"/>
      <c r="E18" s="299"/>
      <c r="F18" s="300"/>
      <c r="G18" s="301"/>
      <c r="H18" s="544">
        <f>SUM(H5:H17)</f>
        <v>4356100</v>
      </c>
      <c r="I18" s="545"/>
      <c r="J18" s="546"/>
      <c r="K18" s="311">
        <f>SUM(K5:K17)</f>
        <v>1760900</v>
      </c>
    </row>
    <row r="19" spans="1:11" s="321" customFormat="1" x14ac:dyDescent="0.55000000000000004">
      <c r="A19" s="314"/>
      <c r="B19" s="315" t="s">
        <v>397</v>
      </c>
      <c r="C19" s="316"/>
      <c r="D19" s="317"/>
      <c r="E19" s="318" t="s">
        <v>398</v>
      </c>
      <c r="F19" s="319"/>
      <c r="G19" s="320"/>
      <c r="H19" s="547"/>
      <c r="I19" s="548"/>
      <c r="J19" s="548"/>
      <c r="K19" s="549"/>
    </row>
    <row r="20" spans="1:11" x14ac:dyDescent="0.55000000000000004">
      <c r="A20" s="296">
        <v>14</v>
      </c>
      <c r="B20" s="721" t="s">
        <v>399</v>
      </c>
      <c r="C20" s="722"/>
      <c r="D20" s="723"/>
      <c r="E20" s="299"/>
      <c r="F20" s="322"/>
      <c r="G20" s="301"/>
      <c r="H20" s="537"/>
      <c r="I20" s="538"/>
      <c r="J20" s="538"/>
      <c r="K20" s="299"/>
    </row>
    <row r="21" spans="1:11" ht="69.75" x14ac:dyDescent="0.55000000000000004">
      <c r="A21" s="296">
        <v>14</v>
      </c>
      <c r="B21" s="297" t="s">
        <v>400</v>
      </c>
      <c r="C21" s="299"/>
      <c r="D21" s="299"/>
      <c r="E21" s="323">
        <v>6000000</v>
      </c>
      <c r="F21" s="324" t="s">
        <v>399</v>
      </c>
      <c r="G21" s="301" t="s">
        <v>401</v>
      </c>
      <c r="H21" s="537">
        <v>2000000</v>
      </c>
      <c r="I21" s="538"/>
      <c r="J21" s="538"/>
      <c r="K21" s="311">
        <f>SUM(E21-H21)</f>
        <v>4000000</v>
      </c>
    </row>
    <row r="22" spans="1:11" ht="69.75" x14ac:dyDescent="0.55000000000000004">
      <c r="A22" s="296">
        <v>14</v>
      </c>
      <c r="B22" s="303" t="s">
        <v>402</v>
      </c>
      <c r="C22" s="325"/>
      <c r="D22" s="325"/>
      <c r="E22" s="311">
        <v>1000000</v>
      </c>
      <c r="F22" s="324" t="s">
        <v>399</v>
      </c>
      <c r="G22" s="301" t="s">
        <v>401</v>
      </c>
      <c r="H22" s="537">
        <v>200000</v>
      </c>
      <c r="I22" s="538"/>
      <c r="J22" s="538"/>
      <c r="K22" s="311">
        <f t="shared" ref="K22:K44" si="1">SUM(E22-H22)</f>
        <v>800000</v>
      </c>
    </row>
    <row r="23" spans="1:11" ht="69.75" x14ac:dyDescent="0.55000000000000004">
      <c r="A23" s="296">
        <v>14</v>
      </c>
      <c r="B23" s="297" t="s">
        <v>403</v>
      </c>
      <c r="C23" s="325"/>
      <c r="D23" s="325"/>
      <c r="E23" s="311">
        <v>900000</v>
      </c>
      <c r="F23" s="324" t="s">
        <v>399</v>
      </c>
      <c r="G23" s="301" t="s">
        <v>401</v>
      </c>
      <c r="H23" s="537">
        <v>900000</v>
      </c>
      <c r="I23" s="538"/>
      <c r="J23" s="538"/>
      <c r="K23" s="311">
        <f t="shared" si="1"/>
        <v>0</v>
      </c>
    </row>
    <row r="24" spans="1:11" ht="69.75" x14ac:dyDescent="0.55000000000000004">
      <c r="A24" s="296">
        <v>14</v>
      </c>
      <c r="B24" s="297" t="s">
        <v>404</v>
      </c>
      <c r="C24" s="325"/>
      <c r="D24" s="325"/>
      <c r="E24" s="311">
        <f>150000</f>
        <v>150000</v>
      </c>
      <c r="F24" s="324" t="s">
        <v>399</v>
      </c>
      <c r="G24" s="301" t="s">
        <v>401</v>
      </c>
      <c r="H24" s="537">
        <v>150000</v>
      </c>
      <c r="I24" s="538"/>
      <c r="J24" s="538"/>
      <c r="K24" s="311">
        <f t="shared" si="1"/>
        <v>0</v>
      </c>
    </row>
    <row r="25" spans="1:11" ht="69.75" x14ac:dyDescent="0.55000000000000004">
      <c r="A25" s="296">
        <v>14</v>
      </c>
      <c r="B25" s="297" t="s">
        <v>405</v>
      </c>
      <c r="C25" s="325"/>
      <c r="D25" s="325"/>
      <c r="E25" s="311">
        <v>450000</v>
      </c>
      <c r="F25" s="324" t="s">
        <v>399</v>
      </c>
      <c r="G25" s="301" t="s">
        <v>401</v>
      </c>
      <c r="H25" s="537">
        <v>85000</v>
      </c>
      <c r="I25" s="538"/>
      <c r="J25" s="538"/>
      <c r="K25" s="311">
        <f t="shared" si="1"/>
        <v>365000</v>
      </c>
    </row>
    <row r="26" spans="1:11" ht="69.75" x14ac:dyDescent="0.55000000000000004">
      <c r="A26" s="296">
        <v>14</v>
      </c>
      <c r="B26" s="308" t="s">
        <v>406</v>
      </c>
      <c r="C26" s="325"/>
      <c r="D26" s="325"/>
      <c r="E26" s="311">
        <v>1000000</v>
      </c>
      <c r="F26" s="324" t="s">
        <v>399</v>
      </c>
      <c r="G26" s="301" t="s">
        <v>401</v>
      </c>
      <c r="H26" s="537">
        <v>1473337</v>
      </c>
      <c r="I26" s="538"/>
      <c r="J26" s="538"/>
      <c r="K26" s="311">
        <f t="shared" si="1"/>
        <v>-473337</v>
      </c>
    </row>
    <row r="27" spans="1:11" ht="69.75" x14ac:dyDescent="0.55000000000000004">
      <c r="A27" s="296">
        <v>14</v>
      </c>
      <c r="B27" s="308" t="s">
        <v>407</v>
      </c>
      <c r="C27" s="326"/>
      <c r="D27" s="326"/>
      <c r="E27" s="311">
        <v>1000000</v>
      </c>
      <c r="F27" s="324" t="s">
        <v>399</v>
      </c>
      <c r="G27" s="301" t="s">
        <v>401</v>
      </c>
      <c r="H27" s="537">
        <v>387090</v>
      </c>
      <c r="I27" s="538"/>
      <c r="J27" s="538"/>
      <c r="K27" s="311">
        <f t="shared" si="1"/>
        <v>612910</v>
      </c>
    </row>
    <row r="28" spans="1:11" ht="69.75" x14ac:dyDescent="0.55000000000000004">
      <c r="A28" s="296">
        <v>14</v>
      </c>
      <c r="B28" s="308" t="s">
        <v>408</v>
      </c>
      <c r="C28" s="299"/>
      <c r="D28" s="299"/>
      <c r="E28" s="550">
        <f>400000</f>
        <v>400000</v>
      </c>
      <c r="F28" s="324" t="s">
        <v>399</v>
      </c>
      <c r="G28" s="301" t="s">
        <v>401</v>
      </c>
      <c r="H28" s="537">
        <v>590000</v>
      </c>
      <c r="I28" s="538"/>
      <c r="J28" s="538"/>
      <c r="K28" s="311">
        <f t="shared" si="1"/>
        <v>-190000</v>
      </c>
    </row>
    <row r="29" spans="1:11" ht="46.5" x14ac:dyDescent="0.55000000000000004">
      <c r="A29" s="296">
        <v>15</v>
      </c>
      <c r="B29" s="297" t="s">
        <v>409</v>
      </c>
      <c r="C29" s="299"/>
      <c r="D29" s="299"/>
      <c r="E29" s="311">
        <v>1950000</v>
      </c>
      <c r="F29" s="312" t="s">
        <v>369</v>
      </c>
      <c r="G29" s="301" t="s">
        <v>653</v>
      </c>
      <c r="H29" s="311">
        <v>1950000</v>
      </c>
      <c r="I29" s="538"/>
      <c r="J29" s="538"/>
      <c r="K29" s="311">
        <f t="shared" si="1"/>
        <v>0</v>
      </c>
    </row>
    <row r="30" spans="1:11" s="310" customFormat="1" ht="46.5" x14ac:dyDescent="0.55000000000000004">
      <c r="A30" s="296">
        <v>16</v>
      </c>
      <c r="B30" s="297" t="s">
        <v>411</v>
      </c>
      <c r="C30" s="306"/>
      <c r="D30" s="298"/>
      <c r="E30" s="307">
        <f>4500000</f>
        <v>4500000</v>
      </c>
      <c r="F30" s="308" t="s">
        <v>390</v>
      </c>
      <c r="G30" s="309" t="s">
        <v>391</v>
      </c>
      <c r="H30" s="540">
        <v>3000000</v>
      </c>
      <c r="I30" s="541"/>
      <c r="J30" s="541"/>
      <c r="K30" s="311">
        <f t="shared" si="1"/>
        <v>1500000</v>
      </c>
    </row>
    <row r="31" spans="1:11" ht="25.5" x14ac:dyDescent="0.7">
      <c r="A31" s="296">
        <v>17</v>
      </c>
      <c r="B31" s="308" t="s">
        <v>412</v>
      </c>
      <c r="C31" s="327"/>
      <c r="D31" s="327"/>
      <c r="E31" s="311">
        <v>100000</v>
      </c>
      <c r="F31" s="312" t="s">
        <v>413</v>
      </c>
      <c r="G31" s="301" t="s">
        <v>388</v>
      </c>
      <c r="H31" s="537">
        <v>200000</v>
      </c>
      <c r="I31" s="538"/>
      <c r="J31" s="538"/>
      <c r="K31" s="311">
        <f t="shared" si="1"/>
        <v>-100000</v>
      </c>
    </row>
    <row r="32" spans="1:11" x14ac:dyDescent="0.55000000000000004">
      <c r="A32" s="296">
        <v>18</v>
      </c>
      <c r="B32" s="303" t="s">
        <v>414</v>
      </c>
      <c r="C32" s="325"/>
      <c r="D32" s="325"/>
      <c r="E32" s="311">
        <v>500000</v>
      </c>
      <c r="F32" s="312" t="s">
        <v>415</v>
      </c>
      <c r="G32" s="301" t="s">
        <v>388</v>
      </c>
      <c r="H32" s="537">
        <v>500000</v>
      </c>
      <c r="I32" s="538"/>
      <c r="J32" s="538"/>
      <c r="K32" s="311">
        <f t="shared" si="1"/>
        <v>0</v>
      </c>
    </row>
    <row r="33" spans="1:13" x14ac:dyDescent="0.55000000000000004">
      <c r="A33" s="296">
        <v>19</v>
      </c>
      <c r="B33" s="303" t="s">
        <v>654</v>
      </c>
      <c r="C33" s="325"/>
      <c r="D33" s="325"/>
      <c r="E33" s="311">
        <v>1200000</v>
      </c>
      <c r="F33" s="305" t="s">
        <v>390</v>
      </c>
      <c r="G33" s="301" t="s">
        <v>388</v>
      </c>
      <c r="H33" s="537">
        <v>2000000</v>
      </c>
      <c r="I33" s="538"/>
      <c r="J33" s="538"/>
      <c r="K33" s="311">
        <f t="shared" si="1"/>
        <v>-800000</v>
      </c>
    </row>
    <row r="34" spans="1:13" ht="46.5" x14ac:dyDescent="0.55000000000000004">
      <c r="A34" s="296">
        <v>20</v>
      </c>
      <c r="B34" s="308" t="s">
        <v>417</v>
      </c>
      <c r="C34" s="325"/>
      <c r="D34" s="325"/>
      <c r="E34" s="311">
        <v>300000</v>
      </c>
      <c r="F34" s="305" t="s">
        <v>390</v>
      </c>
      <c r="G34" s="301" t="s">
        <v>370</v>
      </c>
      <c r="H34" s="537">
        <v>300000</v>
      </c>
      <c r="I34" s="538"/>
      <c r="J34" s="538"/>
      <c r="K34" s="311">
        <f t="shared" si="1"/>
        <v>0</v>
      </c>
    </row>
    <row r="35" spans="1:13" x14ac:dyDescent="0.55000000000000004">
      <c r="A35" s="296">
        <v>22</v>
      </c>
      <c r="B35" s="308" t="s">
        <v>418</v>
      </c>
      <c r="C35" s="325"/>
      <c r="D35" s="325"/>
      <c r="E35" s="311">
        <v>100000</v>
      </c>
      <c r="F35" s="312" t="s">
        <v>419</v>
      </c>
      <c r="G35" s="301" t="s">
        <v>420</v>
      </c>
      <c r="H35" s="537">
        <v>150000</v>
      </c>
      <c r="I35" s="538"/>
      <c r="J35" s="538"/>
      <c r="K35" s="311">
        <f t="shared" si="1"/>
        <v>-50000</v>
      </c>
    </row>
    <row r="36" spans="1:13" ht="46.5" x14ac:dyDescent="0.55000000000000004">
      <c r="A36" s="296">
        <v>23</v>
      </c>
      <c r="B36" s="297" t="s">
        <v>655</v>
      </c>
      <c r="C36" s="325"/>
      <c r="D36" s="325"/>
      <c r="E36" s="311">
        <v>150000</v>
      </c>
      <c r="F36" s="312" t="s">
        <v>422</v>
      </c>
      <c r="G36" s="301" t="s">
        <v>370</v>
      </c>
      <c r="H36" s="537">
        <v>150000</v>
      </c>
      <c r="I36" s="538"/>
      <c r="J36" s="538"/>
      <c r="K36" s="311">
        <f t="shared" si="1"/>
        <v>0</v>
      </c>
    </row>
    <row r="37" spans="1:13" ht="46.5" x14ac:dyDescent="0.55000000000000004">
      <c r="A37" s="296">
        <v>24</v>
      </c>
      <c r="B37" s="551" t="s">
        <v>656</v>
      </c>
      <c r="C37" s="325"/>
      <c r="D37" s="325"/>
      <c r="E37" s="311">
        <v>300000</v>
      </c>
      <c r="F37" s="305" t="s">
        <v>390</v>
      </c>
      <c r="G37" s="301" t="s">
        <v>370</v>
      </c>
      <c r="H37" s="537">
        <v>1000000</v>
      </c>
      <c r="I37" s="538"/>
      <c r="J37" s="538"/>
      <c r="K37" s="311">
        <f t="shared" si="1"/>
        <v>-700000</v>
      </c>
    </row>
    <row r="38" spans="1:13" x14ac:dyDescent="0.55000000000000004">
      <c r="A38" s="296">
        <v>25</v>
      </c>
      <c r="B38" s="308" t="s">
        <v>424</v>
      </c>
      <c r="C38" s="325"/>
      <c r="D38" s="325"/>
      <c r="E38" s="328">
        <v>500000</v>
      </c>
      <c r="F38" s="305" t="s">
        <v>390</v>
      </c>
      <c r="G38" s="309" t="s">
        <v>425</v>
      </c>
      <c r="H38" s="537">
        <v>470000</v>
      </c>
      <c r="I38" s="538"/>
      <c r="J38" s="538"/>
      <c r="K38" s="311">
        <f t="shared" si="1"/>
        <v>30000</v>
      </c>
    </row>
    <row r="39" spans="1:13" ht="46.5" x14ac:dyDescent="0.55000000000000004">
      <c r="A39" s="296">
        <v>26</v>
      </c>
      <c r="B39" s="308" t="s">
        <v>426</v>
      </c>
      <c r="C39" s="299"/>
      <c r="D39" s="326"/>
      <c r="E39" s="328">
        <v>150000</v>
      </c>
      <c r="F39" s="305" t="s">
        <v>372</v>
      </c>
      <c r="G39" s="309" t="s">
        <v>427</v>
      </c>
      <c r="H39" s="537">
        <v>300000</v>
      </c>
      <c r="I39" s="538"/>
      <c r="J39" s="538"/>
      <c r="K39" s="311">
        <f t="shared" si="1"/>
        <v>-150000</v>
      </c>
    </row>
    <row r="40" spans="1:13" x14ac:dyDescent="0.55000000000000004">
      <c r="A40" s="296">
        <v>27</v>
      </c>
      <c r="B40" s="308" t="s">
        <v>657</v>
      </c>
      <c r="C40" s="299"/>
      <c r="D40" s="326"/>
      <c r="E40" s="328">
        <v>500000</v>
      </c>
      <c r="F40" s="305" t="s">
        <v>366</v>
      </c>
      <c r="G40" s="301" t="s">
        <v>429</v>
      </c>
      <c r="H40" s="537">
        <v>500000</v>
      </c>
      <c r="I40" s="538"/>
      <c r="J40" s="538"/>
      <c r="K40" s="311">
        <f t="shared" si="1"/>
        <v>0</v>
      </c>
    </row>
    <row r="41" spans="1:13" x14ac:dyDescent="0.55000000000000004">
      <c r="A41" s="296">
        <v>28</v>
      </c>
      <c r="B41" s="308" t="s">
        <v>430</v>
      </c>
      <c r="C41" s="299"/>
      <c r="D41" s="326"/>
      <c r="E41" s="328">
        <v>800000</v>
      </c>
      <c r="F41" s="305" t="s">
        <v>390</v>
      </c>
      <c r="G41" s="309" t="s">
        <v>431</v>
      </c>
      <c r="H41" s="537">
        <v>350000</v>
      </c>
      <c r="I41" s="538"/>
      <c r="J41" s="538"/>
      <c r="K41" s="311">
        <f t="shared" si="1"/>
        <v>450000</v>
      </c>
      <c r="M41" s="347">
        <f>SUM(H21:H42)</f>
        <v>22281602</v>
      </c>
    </row>
    <row r="42" spans="1:13" ht="46.5" x14ac:dyDescent="0.55000000000000004">
      <c r="A42" s="296">
        <v>29</v>
      </c>
      <c r="B42" s="308" t="s">
        <v>432</v>
      </c>
      <c r="C42" s="329"/>
      <c r="D42" s="329"/>
      <c r="E42" s="311">
        <f>10116193.77-2290000-800000</f>
        <v>7026193.7699999996</v>
      </c>
      <c r="F42" s="312" t="s">
        <v>433</v>
      </c>
      <c r="G42" s="301" t="s">
        <v>434</v>
      </c>
      <c r="H42" s="537">
        <f>778275+515500+785700+3546700</f>
        <v>5626175</v>
      </c>
      <c r="I42" s="538"/>
      <c r="J42" s="538"/>
      <c r="K42" s="311">
        <f t="shared" si="1"/>
        <v>1400018.7699999996</v>
      </c>
    </row>
    <row r="43" spans="1:13" x14ac:dyDescent="0.55000000000000004">
      <c r="A43" s="296"/>
      <c r="B43" s="552" t="s">
        <v>658</v>
      </c>
      <c r="C43" s="329"/>
      <c r="D43" s="329"/>
      <c r="E43" s="553"/>
      <c r="F43" s="312"/>
      <c r="G43" s="554"/>
      <c r="H43" s="560"/>
      <c r="I43" s="559"/>
      <c r="J43" s="559"/>
      <c r="K43" s="311"/>
    </row>
    <row r="44" spans="1:13" x14ac:dyDescent="0.55000000000000004">
      <c r="A44" s="289">
        <v>30</v>
      </c>
      <c r="B44" s="308" t="s">
        <v>659</v>
      </c>
      <c r="C44" s="329"/>
      <c r="D44" s="329"/>
      <c r="E44" s="553">
        <v>1760900</v>
      </c>
      <c r="F44" s="312"/>
      <c r="G44" s="554"/>
      <c r="H44" s="561"/>
      <c r="I44" s="559"/>
      <c r="J44" s="559"/>
      <c r="K44" s="311">
        <f t="shared" si="1"/>
        <v>1760900</v>
      </c>
    </row>
    <row r="45" spans="1:13" x14ac:dyDescent="0.55000000000000004">
      <c r="A45" s="289">
        <v>31</v>
      </c>
      <c r="B45" s="308" t="s">
        <v>660</v>
      </c>
      <c r="C45" s="329"/>
      <c r="D45" s="329"/>
      <c r="E45" s="553"/>
      <c r="F45" s="555"/>
      <c r="G45" s="556"/>
      <c r="H45" s="561">
        <f>900000+500000</f>
        <v>1400000</v>
      </c>
      <c r="I45" s="562"/>
      <c r="J45" s="562"/>
      <c r="K45" s="311"/>
    </row>
    <row r="46" spans="1:13" x14ac:dyDescent="0.55000000000000004">
      <c r="A46" s="289">
        <v>32</v>
      </c>
      <c r="B46" s="308" t="s">
        <v>661</v>
      </c>
      <c r="C46" s="329">
        <v>3</v>
      </c>
      <c r="D46" s="329">
        <v>350000</v>
      </c>
      <c r="E46" s="553"/>
      <c r="F46" s="555"/>
      <c r="G46" s="556"/>
      <c r="H46" s="561">
        <v>1050000</v>
      </c>
      <c r="I46" s="562"/>
      <c r="J46" s="562"/>
      <c r="K46" s="311"/>
    </row>
    <row r="47" spans="1:13" x14ac:dyDescent="0.55000000000000004">
      <c r="A47" s="289">
        <v>33</v>
      </c>
      <c r="B47" s="308" t="s">
        <v>662</v>
      </c>
      <c r="C47" s="329"/>
      <c r="D47" s="329"/>
      <c r="E47" s="553"/>
      <c r="F47" s="555"/>
      <c r="G47" s="556"/>
      <c r="H47" s="561">
        <v>500000</v>
      </c>
      <c r="I47" s="562"/>
      <c r="J47" s="562"/>
      <c r="K47" s="311"/>
    </row>
    <row r="48" spans="1:13" x14ac:dyDescent="0.55000000000000004">
      <c r="A48" s="289">
        <v>34</v>
      </c>
      <c r="B48" s="308" t="s">
        <v>663</v>
      </c>
      <c r="C48" s="329"/>
      <c r="D48" s="329"/>
      <c r="E48" s="553"/>
      <c r="F48" s="555"/>
      <c r="G48" s="556"/>
      <c r="H48" s="561">
        <v>400000</v>
      </c>
      <c r="I48" s="562"/>
      <c r="J48" s="562"/>
      <c r="K48" s="311"/>
    </row>
    <row r="49" spans="1:13" x14ac:dyDescent="0.55000000000000004">
      <c r="A49" s="289">
        <v>35</v>
      </c>
      <c r="B49" s="308" t="s">
        <v>664</v>
      </c>
      <c r="C49" s="329"/>
      <c r="D49" s="329"/>
      <c r="E49" s="553"/>
      <c r="F49" s="555"/>
      <c r="G49" s="556"/>
      <c r="H49" s="561">
        <v>2500000</v>
      </c>
      <c r="I49" s="562"/>
      <c r="J49" s="562"/>
      <c r="K49" s="311"/>
    </row>
    <row r="50" spans="1:13" x14ac:dyDescent="0.55000000000000004">
      <c r="A50" s="289">
        <v>36</v>
      </c>
      <c r="B50" s="308" t="s">
        <v>665</v>
      </c>
      <c r="C50" s="329"/>
      <c r="D50" s="329"/>
      <c r="E50" s="553"/>
      <c r="F50" s="555"/>
      <c r="G50" s="556"/>
      <c r="H50" s="561">
        <v>350000</v>
      </c>
      <c r="I50" s="562"/>
      <c r="J50" s="562"/>
      <c r="K50" s="311"/>
    </row>
    <row r="51" spans="1:13" x14ac:dyDescent="0.55000000000000004">
      <c r="A51" s="289">
        <v>37</v>
      </c>
      <c r="B51" s="308" t="s">
        <v>666</v>
      </c>
      <c r="C51" s="329"/>
      <c r="D51" s="329"/>
      <c r="E51" s="553"/>
      <c r="F51" s="555"/>
      <c r="G51" s="556"/>
      <c r="H51" s="561">
        <v>500000</v>
      </c>
      <c r="I51" s="562"/>
      <c r="J51" s="562"/>
      <c r="K51" s="311"/>
    </row>
    <row r="52" spans="1:13" x14ac:dyDescent="0.55000000000000004">
      <c r="A52" s="289">
        <v>38</v>
      </c>
      <c r="B52" s="308" t="s">
        <v>667</v>
      </c>
      <c r="C52" s="329"/>
      <c r="D52" s="329"/>
      <c r="E52" s="553"/>
      <c r="F52" s="555"/>
      <c r="G52" s="556"/>
      <c r="H52" s="561">
        <v>68000</v>
      </c>
      <c r="I52" s="562"/>
      <c r="J52" s="562"/>
      <c r="K52" s="311"/>
    </row>
    <row r="53" spans="1:13" x14ac:dyDescent="0.55000000000000004">
      <c r="A53" s="289">
        <v>39</v>
      </c>
      <c r="B53" s="308" t="s">
        <v>668</v>
      </c>
      <c r="C53" s="329"/>
      <c r="D53" s="329"/>
      <c r="E53" s="553"/>
      <c r="F53" s="555"/>
      <c r="G53" s="556"/>
      <c r="H53" s="561">
        <v>200000</v>
      </c>
      <c r="I53" s="562"/>
      <c r="J53" s="562"/>
      <c r="K53" s="311"/>
    </row>
    <row r="54" spans="1:13" x14ac:dyDescent="0.55000000000000004">
      <c r="A54" s="289">
        <v>40</v>
      </c>
      <c r="B54" s="308" t="s">
        <v>669</v>
      </c>
      <c r="C54" s="329"/>
      <c r="D54" s="329"/>
      <c r="E54" s="553"/>
      <c r="F54" s="555"/>
      <c r="G54" s="556"/>
      <c r="H54" s="561">
        <v>400000</v>
      </c>
      <c r="I54" s="562"/>
      <c r="J54" s="562"/>
      <c r="K54" s="311"/>
    </row>
    <row r="55" spans="1:13" x14ac:dyDescent="0.55000000000000004">
      <c r="A55" s="289">
        <v>41</v>
      </c>
      <c r="B55" s="308" t="s">
        <v>572</v>
      </c>
      <c r="C55" s="329"/>
      <c r="D55" s="329"/>
      <c r="E55" s="553"/>
      <c r="F55" s="555"/>
      <c r="G55" s="556"/>
      <c r="H55" s="561">
        <v>500000</v>
      </c>
      <c r="I55" s="562"/>
      <c r="J55" s="562"/>
      <c r="K55" s="311"/>
    </row>
    <row r="56" spans="1:13" x14ac:dyDescent="0.55000000000000004">
      <c r="A56" s="289">
        <v>42</v>
      </c>
      <c r="B56" s="308" t="s">
        <v>670</v>
      </c>
      <c r="C56" s="329">
        <v>4</v>
      </c>
      <c r="D56" s="329">
        <v>15000</v>
      </c>
      <c r="E56" s="553">
        <f>SUM(C56*D56)</f>
        <v>60000</v>
      </c>
      <c r="F56" s="555"/>
      <c r="G56" s="556"/>
      <c r="H56" s="561">
        <v>60000</v>
      </c>
      <c r="I56" s="562"/>
      <c r="J56" s="562"/>
      <c r="K56" s="311"/>
      <c r="M56" s="347">
        <f>SUM(H45:H56)</f>
        <v>7928000</v>
      </c>
    </row>
    <row r="57" spans="1:13" x14ac:dyDescent="0.55000000000000004">
      <c r="A57" s="296"/>
      <c r="B57" s="297"/>
      <c r="C57" s="330"/>
      <c r="D57" s="542" t="s">
        <v>435</v>
      </c>
      <c r="E57" s="330">
        <f>SUBTOTAL(9,E5:E46)</f>
        <v>30737093.77</v>
      </c>
      <c r="F57" s="330">
        <f>SUBTOTAL(9,F5:F44)</f>
        <v>0</v>
      </c>
      <c r="G57" s="330">
        <f>SUBTOTAL(9,G5:G44)</f>
        <v>0</v>
      </c>
      <c r="H57" s="330">
        <f>SUBTOTAL(9,H21:H56)</f>
        <v>30209602</v>
      </c>
      <c r="I57" s="330">
        <f>SUBTOTAL(9,I5:I44)</f>
        <v>0</v>
      </c>
      <c r="J57" s="330"/>
      <c r="K57" s="557">
        <f>SUBTOTAL(9,K5:K44)</f>
        <v>11977291.77</v>
      </c>
      <c r="M57" s="347">
        <f>SUM(M41:M56)</f>
        <v>30209602</v>
      </c>
    </row>
    <row r="58" spans="1:13" x14ac:dyDescent="0.55000000000000004">
      <c r="B58" s="334"/>
      <c r="C58" s="335"/>
      <c r="D58" s="335" t="s">
        <v>436</v>
      </c>
      <c r="E58" s="558">
        <f>SUM(E57+C18)-E44</f>
        <v>43853193.769999996</v>
      </c>
      <c r="F58" s="336"/>
      <c r="G58" s="337"/>
      <c r="H58" s="532">
        <f>E57-H57</f>
        <v>527491.76999999955</v>
      </c>
    </row>
  </sheetData>
  <mergeCells count="4">
    <mergeCell ref="A1:G1"/>
    <mergeCell ref="A2:G2"/>
    <mergeCell ref="C3:E3"/>
    <mergeCell ref="B20:D20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"/>
  <sheetViews>
    <sheetView zoomScale="120" zoomScaleNormal="120" workbookViewId="0">
      <pane xSplit="2" ySplit="3" topLeftCell="C45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defaultColWidth="10.28515625" defaultRowHeight="23.25" x14ac:dyDescent="0.55000000000000004"/>
  <cols>
    <col min="1" max="1" width="5.85546875" style="333" bestFit="1" customWidth="1"/>
    <col min="2" max="2" width="52.85546875" style="310" customWidth="1"/>
    <col min="3" max="3" width="16.85546875" style="488" customWidth="1"/>
    <col min="4" max="4" width="14" style="285" hidden="1" customWidth="1"/>
    <col min="5" max="5" width="20.7109375" style="285" hidden="1" customWidth="1"/>
    <col min="6" max="6" width="21.7109375" style="338" hidden="1" customWidth="1"/>
    <col min="7" max="7" width="44.85546875" style="339" hidden="1" customWidth="1"/>
    <col min="8" max="8" width="20.28515625" style="473" customWidth="1"/>
    <col min="9" max="9" width="18.140625" style="285" customWidth="1"/>
    <col min="10" max="10" width="18.5703125" style="285" hidden="1" customWidth="1"/>
    <col min="11" max="11" width="16.42578125" style="285" hidden="1" customWidth="1"/>
    <col min="12" max="12" width="17.28515625" style="285" hidden="1" customWidth="1"/>
    <col min="13" max="13" width="14" style="285" hidden="1" customWidth="1"/>
    <col min="14" max="14" width="14.28515625" style="285" hidden="1" customWidth="1"/>
    <col min="15" max="15" width="14.28515625" style="285" customWidth="1"/>
    <col min="16" max="16" width="14.42578125" style="285" customWidth="1"/>
    <col min="17" max="17" width="13.42578125" style="285" customWidth="1"/>
    <col min="18" max="18" width="17.7109375" style="285" customWidth="1"/>
    <col min="19" max="16384" width="10.28515625" style="285"/>
  </cols>
  <sheetData>
    <row r="1" spans="1:21" ht="27.75" x14ac:dyDescent="0.65">
      <c r="A1" s="433" t="s">
        <v>357</v>
      </c>
      <c r="B1" s="433"/>
      <c r="C1" s="455"/>
      <c r="D1" s="433"/>
      <c r="E1" s="433"/>
      <c r="F1" s="433"/>
      <c r="G1" s="433"/>
      <c r="H1" s="455"/>
    </row>
    <row r="2" spans="1:21" x14ac:dyDescent="0.55000000000000004">
      <c r="A2" s="434" t="s">
        <v>358</v>
      </c>
      <c r="B2" s="434"/>
      <c r="C2" s="474"/>
      <c r="D2" s="434"/>
      <c r="E2" s="434"/>
      <c r="F2" s="434"/>
      <c r="G2" s="434"/>
      <c r="H2" s="456"/>
    </row>
    <row r="3" spans="1:21" s="288" customFormat="1" ht="24" x14ac:dyDescent="0.2">
      <c r="A3" s="422" t="s">
        <v>0</v>
      </c>
      <c r="B3" s="422" t="s">
        <v>1</v>
      </c>
      <c r="C3" s="713" t="s">
        <v>574</v>
      </c>
      <c r="D3" s="714"/>
      <c r="E3" s="715"/>
      <c r="F3" s="422" t="s">
        <v>360</v>
      </c>
      <c r="G3" s="423" t="s">
        <v>361</v>
      </c>
      <c r="H3" s="457" t="s">
        <v>578</v>
      </c>
      <c r="I3" s="425" t="s">
        <v>577</v>
      </c>
      <c r="J3" s="425" t="s">
        <v>620</v>
      </c>
      <c r="K3" s="425" t="s">
        <v>151</v>
      </c>
      <c r="L3" s="425" t="s">
        <v>573</v>
      </c>
      <c r="N3" s="451" t="s">
        <v>595</v>
      </c>
      <c r="O3" s="569" t="s">
        <v>673</v>
      </c>
      <c r="P3" s="567" t="s">
        <v>671</v>
      </c>
      <c r="Q3" s="568" t="s">
        <v>672</v>
      </c>
    </row>
    <row r="4" spans="1:21" x14ac:dyDescent="0.55000000000000004">
      <c r="A4" s="296"/>
      <c r="B4" s="500" t="s">
        <v>362</v>
      </c>
      <c r="C4" s="475"/>
      <c r="D4" s="424" t="s">
        <v>364</v>
      </c>
      <c r="E4" s="299"/>
      <c r="F4" s="300"/>
      <c r="G4" s="301"/>
      <c r="H4" s="458"/>
      <c r="I4" s="432"/>
      <c r="J4" s="432"/>
      <c r="K4" s="432"/>
      <c r="L4" s="432"/>
      <c r="N4" s="325"/>
      <c r="O4" s="595"/>
      <c r="P4" s="595"/>
      <c r="Q4" s="595"/>
      <c r="U4" s="285">
        <v>1755000</v>
      </c>
    </row>
    <row r="5" spans="1:21" ht="16.5" customHeight="1" x14ac:dyDescent="0.55000000000000004">
      <c r="A5" s="572">
        <v>1</v>
      </c>
      <c r="B5" s="573" t="s">
        <v>365</v>
      </c>
      <c r="C5" s="574">
        <v>1287000</v>
      </c>
      <c r="D5" s="575" t="s">
        <v>88</v>
      </c>
      <c r="E5" s="576"/>
      <c r="F5" s="577" t="s">
        <v>366</v>
      </c>
      <c r="G5" s="578" t="s">
        <v>367</v>
      </c>
      <c r="H5" s="579">
        <f>SUM(H6:H8)</f>
        <v>2613000</v>
      </c>
      <c r="I5" s="580">
        <f>SUM(I6:I8)</f>
        <v>2613000</v>
      </c>
      <c r="J5" s="508">
        <v>0</v>
      </c>
      <c r="K5" s="507"/>
      <c r="L5" s="507"/>
      <c r="M5" s="509"/>
      <c r="N5" s="566"/>
      <c r="O5" s="587"/>
      <c r="P5" s="588">
        <f>SUM(C5-I5)</f>
        <v>-1326000</v>
      </c>
      <c r="Q5" s="587"/>
      <c r="S5" s="285">
        <v>234000</v>
      </c>
      <c r="U5" s="285">
        <v>585000</v>
      </c>
    </row>
    <row r="6" spans="1:21" x14ac:dyDescent="0.55000000000000004">
      <c r="A6" s="296"/>
      <c r="B6" s="303" t="s">
        <v>579</v>
      </c>
      <c r="C6" s="476"/>
      <c r="D6" s="298"/>
      <c r="E6" s="299"/>
      <c r="F6" s="300"/>
      <c r="G6" s="301"/>
      <c r="H6" s="459"/>
      <c r="I6" s="432"/>
      <c r="J6" s="432"/>
      <c r="K6" s="432"/>
      <c r="L6" s="444"/>
      <c r="N6" s="325"/>
      <c r="O6" s="595"/>
      <c r="P6" s="595"/>
      <c r="Q6" s="595"/>
      <c r="S6" s="285">
        <v>351000</v>
      </c>
      <c r="U6" s="285">
        <f>SUM(U4:U5)</f>
        <v>2340000</v>
      </c>
    </row>
    <row r="7" spans="1:21" x14ac:dyDescent="0.55000000000000004">
      <c r="A7" s="296"/>
      <c r="B7" s="297" t="s">
        <v>582</v>
      </c>
      <c r="C7" s="476"/>
      <c r="D7" s="298"/>
      <c r="E7" s="299"/>
      <c r="F7" s="300"/>
      <c r="G7" s="301"/>
      <c r="H7" s="459">
        <v>2340000</v>
      </c>
      <c r="I7" s="432">
        <v>2340000</v>
      </c>
      <c r="J7" s="432"/>
      <c r="K7" s="432"/>
      <c r="L7" s="432"/>
      <c r="N7" s="325"/>
      <c r="O7" s="595"/>
      <c r="P7" s="595"/>
      <c r="Q7" s="595"/>
      <c r="S7" s="285">
        <f>SUM(S5:S6)</f>
        <v>585000</v>
      </c>
    </row>
    <row r="8" spans="1:21" x14ac:dyDescent="0.55000000000000004">
      <c r="A8" s="296"/>
      <c r="B8" s="297" t="s">
        <v>596</v>
      </c>
      <c r="C8" s="476"/>
      <c r="D8" s="298"/>
      <c r="E8" s="299"/>
      <c r="F8" s="300"/>
      <c r="G8" s="301"/>
      <c r="H8" s="459">
        <v>273000</v>
      </c>
      <c r="I8" s="432">
        <v>273000</v>
      </c>
      <c r="J8" s="432"/>
      <c r="K8" s="444">
        <f>SUM(I7:I8)</f>
        <v>2613000</v>
      </c>
      <c r="L8" s="444">
        <v>0</v>
      </c>
      <c r="N8" s="454">
        <f>SUM(C5-K8)</f>
        <v>-1326000</v>
      </c>
      <c r="O8" s="596"/>
      <c r="P8" s="595"/>
      <c r="Q8" s="595"/>
      <c r="S8" s="285">
        <v>2340000</v>
      </c>
    </row>
    <row r="9" spans="1:21" x14ac:dyDescent="0.55000000000000004">
      <c r="A9" s="296"/>
      <c r="B9" s="297"/>
      <c r="C9" s="476"/>
      <c r="D9" s="298"/>
      <c r="E9" s="299"/>
      <c r="F9" s="300"/>
      <c r="G9" s="301"/>
      <c r="H9" s="459"/>
      <c r="I9" s="432"/>
      <c r="J9" s="432"/>
      <c r="K9" s="432"/>
      <c r="L9" s="444"/>
      <c r="N9" s="325"/>
      <c r="O9" s="595"/>
      <c r="P9" s="595"/>
      <c r="Q9" s="595"/>
    </row>
    <row r="10" spans="1:21" ht="24.6" customHeight="1" x14ac:dyDescent="0.55000000000000004">
      <c r="A10" s="572">
        <v>2</v>
      </c>
      <c r="B10" s="573" t="s">
        <v>368</v>
      </c>
      <c r="C10" s="581">
        <v>820000</v>
      </c>
      <c r="D10" s="582" t="s">
        <v>88</v>
      </c>
      <c r="E10" s="583"/>
      <c r="F10" s="584" t="s">
        <v>369</v>
      </c>
      <c r="G10" s="585" t="s">
        <v>370</v>
      </c>
      <c r="H10" s="579">
        <v>596500</v>
      </c>
      <c r="I10" s="580">
        <v>596500</v>
      </c>
      <c r="J10" s="580">
        <v>0</v>
      </c>
      <c r="K10" s="589">
        <f>SUM(I10)</f>
        <v>596500</v>
      </c>
      <c r="L10" s="590">
        <v>0</v>
      </c>
      <c r="M10" s="591"/>
      <c r="N10" s="592">
        <f>SUM(C10-K10)</f>
        <v>223500</v>
      </c>
      <c r="O10" s="593"/>
      <c r="P10" s="593"/>
      <c r="Q10" s="593">
        <f>SUM(C10-I10)</f>
        <v>223500</v>
      </c>
      <c r="S10" s="285">
        <f>SUM(S8-S7)</f>
        <v>1755000</v>
      </c>
    </row>
    <row r="11" spans="1:21" ht="24.6" customHeight="1" x14ac:dyDescent="0.55000000000000004">
      <c r="A11" s="296"/>
      <c r="B11" s="297"/>
      <c r="C11" s="476"/>
      <c r="D11" s="298"/>
      <c r="E11" s="299"/>
      <c r="F11" s="302"/>
      <c r="G11" s="301"/>
      <c r="H11" s="459"/>
      <c r="I11" s="432"/>
      <c r="J11" s="432"/>
      <c r="K11" s="432"/>
      <c r="L11" s="432"/>
      <c r="N11" s="453"/>
      <c r="O11" s="323"/>
      <c r="P11" s="595"/>
      <c r="Q11" s="595"/>
    </row>
    <row r="12" spans="1:21" ht="30" customHeight="1" x14ac:dyDescent="0.55000000000000004">
      <c r="A12" s="572">
        <v>3</v>
      </c>
      <c r="B12" s="573" t="s">
        <v>371</v>
      </c>
      <c r="C12" s="574">
        <v>460000</v>
      </c>
      <c r="D12" s="575" t="s">
        <v>88</v>
      </c>
      <c r="E12" s="576"/>
      <c r="F12" s="577" t="s">
        <v>372</v>
      </c>
      <c r="G12" s="578" t="s">
        <v>373</v>
      </c>
      <c r="H12" s="579">
        <v>360600</v>
      </c>
      <c r="I12" s="580">
        <v>360600</v>
      </c>
      <c r="J12" s="580">
        <v>0</v>
      </c>
      <c r="K12" s="589">
        <f>SUM(I12)</f>
        <v>360600</v>
      </c>
      <c r="L12" s="590">
        <v>0</v>
      </c>
      <c r="M12" s="591"/>
      <c r="N12" s="592">
        <f>SUM(C12-K12)</f>
        <v>99400</v>
      </c>
      <c r="O12" s="593"/>
      <c r="P12" s="593"/>
      <c r="Q12" s="593">
        <f>SUM(C12-I12)</f>
        <v>99400</v>
      </c>
    </row>
    <row r="13" spans="1:21" ht="30" customHeight="1" x14ac:dyDescent="0.55000000000000004">
      <c r="A13" s="296"/>
      <c r="B13" s="297"/>
      <c r="C13" s="476"/>
      <c r="D13" s="298"/>
      <c r="E13" s="299"/>
      <c r="F13" s="300"/>
      <c r="G13" s="301"/>
      <c r="H13" s="459"/>
      <c r="I13" s="432"/>
      <c r="J13" s="432"/>
      <c r="K13" s="432"/>
      <c r="L13" s="432"/>
      <c r="N13" s="325"/>
      <c r="O13" s="595"/>
      <c r="P13" s="595"/>
      <c r="Q13" s="595"/>
    </row>
    <row r="14" spans="1:21" ht="28.9" customHeight="1" x14ac:dyDescent="0.55000000000000004">
      <c r="A14" s="572">
        <v>4</v>
      </c>
      <c r="B14" s="573" t="s">
        <v>593</v>
      </c>
      <c r="C14" s="581">
        <v>500000</v>
      </c>
      <c r="D14" s="582" t="s">
        <v>88</v>
      </c>
      <c r="E14" s="583"/>
      <c r="F14" s="584" t="s">
        <v>375</v>
      </c>
      <c r="G14" s="585" t="s">
        <v>370</v>
      </c>
      <c r="H14" s="586"/>
      <c r="I14" s="580"/>
      <c r="J14" s="580">
        <v>500000</v>
      </c>
      <c r="K14" s="589">
        <v>500000</v>
      </c>
      <c r="L14" s="590"/>
      <c r="M14" s="591"/>
      <c r="N14" s="592">
        <f>SUM(C14-K14)</f>
        <v>0</v>
      </c>
      <c r="O14" s="593"/>
      <c r="P14" s="587"/>
      <c r="Q14" s="594">
        <v>500000</v>
      </c>
    </row>
    <row r="15" spans="1:21" ht="28.9" customHeight="1" x14ac:dyDescent="0.55000000000000004">
      <c r="A15" s="296"/>
      <c r="B15" s="443"/>
      <c r="C15" s="476"/>
      <c r="D15" s="298"/>
      <c r="E15" s="299"/>
      <c r="F15" s="302"/>
      <c r="G15" s="301"/>
      <c r="H15" s="459"/>
      <c r="I15" s="432"/>
      <c r="J15" s="432"/>
      <c r="K15" s="432"/>
      <c r="L15" s="432"/>
      <c r="N15" s="325"/>
      <c r="O15" s="595"/>
      <c r="P15" s="595"/>
      <c r="Q15" s="595"/>
    </row>
    <row r="16" spans="1:21" x14ac:dyDescent="0.55000000000000004">
      <c r="A16" s="572">
        <v>5</v>
      </c>
      <c r="B16" s="607" t="s">
        <v>376</v>
      </c>
      <c r="C16" s="608">
        <v>600000</v>
      </c>
      <c r="D16" s="609" t="s">
        <v>88</v>
      </c>
      <c r="E16" s="587"/>
      <c r="F16" s="610" t="s">
        <v>369</v>
      </c>
      <c r="G16" s="611" t="s">
        <v>377</v>
      </c>
      <c r="H16" s="612">
        <v>425000</v>
      </c>
      <c r="I16" s="590">
        <v>425000</v>
      </c>
      <c r="J16" s="590">
        <v>0</v>
      </c>
      <c r="K16" s="589">
        <f>SUM(I16)</f>
        <v>425000</v>
      </c>
      <c r="L16" s="590">
        <v>0</v>
      </c>
      <c r="M16" s="591"/>
      <c r="N16" s="592">
        <f>SUM(C16-K16)</f>
        <v>175000</v>
      </c>
      <c r="O16" s="593"/>
      <c r="P16" s="593"/>
      <c r="Q16" s="593">
        <f>SUM(C16-I16)</f>
        <v>175000</v>
      </c>
    </row>
    <row r="17" spans="1:17" x14ac:dyDescent="0.55000000000000004">
      <c r="A17" s="296"/>
      <c r="B17" s="303"/>
      <c r="C17" s="477"/>
      <c r="D17" s="298"/>
      <c r="E17" s="299"/>
      <c r="F17" s="302"/>
      <c r="G17" s="301"/>
      <c r="H17" s="459"/>
      <c r="I17" s="432"/>
      <c r="J17" s="432"/>
      <c r="K17" s="444"/>
      <c r="L17" s="432"/>
      <c r="N17" s="453"/>
      <c r="O17" s="323"/>
      <c r="P17" s="595"/>
      <c r="Q17" s="595"/>
    </row>
    <row r="18" spans="1:17" x14ac:dyDescent="0.55000000000000004">
      <c r="A18" s="572">
        <v>6</v>
      </c>
      <c r="B18" s="607" t="s">
        <v>378</v>
      </c>
      <c r="C18" s="581">
        <v>1000000</v>
      </c>
      <c r="D18" s="582" t="s">
        <v>88</v>
      </c>
      <c r="E18" s="583"/>
      <c r="F18" s="584" t="s">
        <v>379</v>
      </c>
      <c r="G18" s="585" t="s">
        <v>380</v>
      </c>
      <c r="H18" s="579">
        <f>SUM(H19:H23)</f>
        <v>1223300</v>
      </c>
      <c r="I18" s="579">
        <f>SUM(I19:I23)</f>
        <v>1223300</v>
      </c>
      <c r="J18" s="580">
        <v>0</v>
      </c>
      <c r="K18" s="590"/>
      <c r="L18" s="590"/>
      <c r="M18" s="591"/>
      <c r="N18" s="613"/>
      <c r="O18" s="587"/>
      <c r="P18" s="588">
        <f>SUM(C18-I18)</f>
        <v>-223300</v>
      </c>
      <c r="Q18" s="587"/>
    </row>
    <row r="19" spans="1:17" x14ac:dyDescent="0.55000000000000004">
      <c r="A19" s="296"/>
      <c r="B19" s="303" t="s">
        <v>580</v>
      </c>
      <c r="C19" s="477"/>
      <c r="D19" s="298"/>
      <c r="E19" s="299"/>
      <c r="F19" s="305"/>
      <c r="G19" s="301"/>
      <c r="H19" s="459">
        <f>80000+78500+78500</f>
        <v>237000</v>
      </c>
      <c r="I19" s="442">
        <f>80000+78500+78500</f>
        <v>237000</v>
      </c>
      <c r="J19" s="442"/>
      <c r="K19" s="432"/>
      <c r="L19" s="432"/>
      <c r="N19" s="325"/>
      <c r="O19" s="299"/>
      <c r="P19" s="299"/>
      <c r="Q19" s="299"/>
    </row>
    <row r="20" spans="1:17" x14ac:dyDescent="0.55000000000000004">
      <c r="A20" s="296"/>
      <c r="B20" s="303" t="s">
        <v>589</v>
      </c>
      <c r="C20" s="477"/>
      <c r="D20" s="298"/>
      <c r="E20" s="299"/>
      <c r="F20" s="305"/>
      <c r="G20" s="301"/>
      <c r="H20" s="459">
        <v>198900</v>
      </c>
      <c r="I20" s="442">
        <v>198900</v>
      </c>
      <c r="J20" s="442"/>
      <c r="K20" s="432"/>
      <c r="L20" s="432"/>
      <c r="N20" s="325"/>
      <c r="O20" s="299"/>
      <c r="P20" s="299"/>
      <c r="Q20" s="299"/>
    </row>
    <row r="21" spans="1:17" x14ac:dyDescent="0.55000000000000004">
      <c r="A21" s="296"/>
      <c r="B21" s="303" t="s">
        <v>581</v>
      </c>
      <c r="C21" s="477"/>
      <c r="D21" s="298"/>
      <c r="E21" s="299"/>
      <c r="F21" s="305"/>
      <c r="G21" s="301"/>
      <c r="H21" s="459">
        <v>340000</v>
      </c>
      <c r="I21" s="442">
        <v>340000</v>
      </c>
      <c r="J21" s="442"/>
      <c r="K21" s="432"/>
      <c r="L21" s="432"/>
      <c r="N21" s="325"/>
      <c r="O21" s="299"/>
      <c r="P21" s="299"/>
      <c r="Q21" s="299"/>
    </row>
    <row r="22" spans="1:17" x14ac:dyDescent="0.55000000000000004">
      <c r="A22" s="296"/>
      <c r="B22" s="303" t="s">
        <v>591</v>
      </c>
      <c r="C22" s="477"/>
      <c r="D22" s="298"/>
      <c r="E22" s="299"/>
      <c r="F22" s="305"/>
      <c r="G22" s="301"/>
      <c r="H22" s="459">
        <v>247600</v>
      </c>
      <c r="I22" s="442">
        <f>SUM(H22)</f>
        <v>247600</v>
      </c>
      <c r="J22" s="442"/>
      <c r="K22" s="432"/>
      <c r="L22" s="432"/>
      <c r="N22" s="325"/>
      <c r="O22" s="299"/>
      <c r="P22" s="299"/>
      <c r="Q22" s="299"/>
    </row>
    <row r="23" spans="1:17" x14ac:dyDescent="0.55000000000000004">
      <c r="A23" s="296"/>
      <c r="B23" s="303" t="s">
        <v>590</v>
      </c>
      <c r="C23" s="477"/>
      <c r="D23" s="298"/>
      <c r="E23" s="299"/>
      <c r="F23" s="305"/>
      <c r="G23" s="301"/>
      <c r="H23" s="459">
        <v>199800</v>
      </c>
      <c r="I23" s="442">
        <f>SUM(H23)</f>
        <v>199800</v>
      </c>
      <c r="J23" s="442"/>
      <c r="K23" s="444">
        <f>SUM(I19:I23)</f>
        <v>1223300</v>
      </c>
      <c r="L23" s="490">
        <v>0</v>
      </c>
      <c r="N23" s="454">
        <f>SUM(C18-K23)</f>
        <v>-223300</v>
      </c>
      <c r="O23" s="550"/>
      <c r="P23" s="299"/>
      <c r="Q23" s="299"/>
    </row>
    <row r="24" spans="1:17" x14ac:dyDescent="0.55000000000000004">
      <c r="A24" s="296"/>
      <c r="B24" s="303"/>
      <c r="C24" s="477"/>
      <c r="D24" s="298"/>
      <c r="E24" s="299"/>
      <c r="F24" s="305"/>
      <c r="G24" s="301"/>
      <c r="H24" s="459"/>
      <c r="I24" s="442"/>
      <c r="J24" s="442"/>
      <c r="K24" s="432"/>
      <c r="L24" s="432"/>
      <c r="N24" s="325"/>
      <c r="O24" s="299"/>
      <c r="P24" s="299"/>
      <c r="Q24" s="299"/>
    </row>
    <row r="25" spans="1:17" x14ac:dyDescent="0.55000000000000004">
      <c r="A25" s="572">
        <v>7</v>
      </c>
      <c r="B25" s="607" t="s">
        <v>381</v>
      </c>
      <c r="C25" s="608">
        <v>500000</v>
      </c>
      <c r="D25" s="609" t="s">
        <v>88</v>
      </c>
      <c r="E25" s="587"/>
      <c r="F25" s="610" t="s">
        <v>379</v>
      </c>
      <c r="G25" s="611" t="s">
        <v>382</v>
      </c>
      <c r="H25" s="612">
        <v>198000</v>
      </c>
      <c r="I25" s="590">
        <v>198000</v>
      </c>
      <c r="J25" s="590">
        <v>0</v>
      </c>
      <c r="K25" s="589">
        <v>500000</v>
      </c>
      <c r="L25" s="590">
        <f>SUM(C25-K25)</f>
        <v>0</v>
      </c>
      <c r="M25" s="591"/>
      <c r="N25" s="592">
        <f>SUM(C25-K25)</f>
        <v>0</v>
      </c>
      <c r="O25" s="593"/>
      <c r="P25" s="593"/>
      <c r="Q25" s="593">
        <f>SUM(C25-I25)</f>
        <v>302000</v>
      </c>
    </row>
    <row r="26" spans="1:17" x14ac:dyDescent="0.55000000000000004">
      <c r="A26" s="296"/>
      <c r="B26" s="303"/>
      <c r="C26" s="477"/>
      <c r="D26" s="298"/>
      <c r="E26" s="299"/>
      <c r="F26" s="305"/>
      <c r="G26" s="301"/>
      <c r="H26" s="459"/>
      <c r="I26" s="432"/>
      <c r="J26" s="432"/>
      <c r="K26" s="444"/>
      <c r="L26" s="432"/>
      <c r="N26" s="453"/>
      <c r="O26" s="311"/>
      <c r="P26" s="299"/>
      <c r="Q26" s="299"/>
    </row>
    <row r="27" spans="1:17" x14ac:dyDescent="0.55000000000000004">
      <c r="A27" s="572">
        <v>8</v>
      </c>
      <c r="B27" s="573" t="s">
        <v>383</v>
      </c>
      <c r="C27" s="608">
        <v>1500000</v>
      </c>
      <c r="D27" s="609" t="s">
        <v>88</v>
      </c>
      <c r="E27" s="587"/>
      <c r="F27" s="610" t="s">
        <v>384</v>
      </c>
      <c r="G27" s="611" t="s">
        <v>385</v>
      </c>
      <c r="H27" s="612">
        <v>1500000</v>
      </c>
      <c r="I27" s="590">
        <v>1500000</v>
      </c>
      <c r="J27" s="590">
        <v>0</v>
      </c>
      <c r="K27" s="589">
        <f>SUM(I27)</f>
        <v>1500000</v>
      </c>
      <c r="L27" s="590">
        <f>SUM(C27-K27)</f>
        <v>0</v>
      </c>
      <c r="M27" s="591"/>
      <c r="N27" s="592">
        <f>SUM(C27-K27)</f>
        <v>0</v>
      </c>
      <c r="O27" s="593"/>
      <c r="P27" s="587"/>
      <c r="Q27" s="587">
        <f>SUM(U30)</f>
        <v>0</v>
      </c>
    </row>
    <row r="28" spans="1:17" x14ac:dyDescent="0.55000000000000004">
      <c r="A28" s="296"/>
      <c r="B28" s="443"/>
      <c r="C28" s="477"/>
      <c r="D28" s="298"/>
      <c r="F28" s="305"/>
      <c r="G28" s="301"/>
      <c r="H28" s="459"/>
      <c r="I28" s="432"/>
      <c r="J28" s="432"/>
      <c r="K28" s="432"/>
      <c r="L28" s="432"/>
      <c r="N28" s="325"/>
      <c r="O28" s="299"/>
      <c r="P28" s="299"/>
      <c r="Q28" s="299"/>
    </row>
    <row r="29" spans="1:17" x14ac:dyDescent="0.55000000000000004">
      <c r="A29" s="572">
        <v>9</v>
      </c>
      <c r="B29" s="573" t="s">
        <v>386</v>
      </c>
      <c r="C29" s="608">
        <v>350000</v>
      </c>
      <c r="D29" s="609" t="s">
        <v>88</v>
      </c>
      <c r="E29" s="591"/>
      <c r="F29" s="610" t="s">
        <v>387</v>
      </c>
      <c r="G29" s="611" t="s">
        <v>388</v>
      </c>
      <c r="H29" s="612"/>
      <c r="I29" s="590">
        <f>SUM(H30:H31)</f>
        <v>330000</v>
      </c>
      <c r="J29" s="590">
        <v>0</v>
      </c>
      <c r="K29" s="589"/>
      <c r="L29" s="590"/>
      <c r="M29" s="591"/>
      <c r="N29" s="613"/>
      <c r="O29" s="587"/>
      <c r="P29" s="587"/>
      <c r="Q29" s="593">
        <f>SUM(C29-I29)</f>
        <v>20000</v>
      </c>
    </row>
    <row r="30" spans="1:17" x14ac:dyDescent="0.55000000000000004">
      <c r="A30" s="296"/>
      <c r="B30" s="297" t="s">
        <v>584</v>
      </c>
      <c r="C30" s="476"/>
      <c r="D30" s="298"/>
      <c r="F30" s="302"/>
      <c r="G30" s="301"/>
      <c r="H30" s="459">
        <v>280000</v>
      </c>
      <c r="I30" s="432"/>
      <c r="J30" s="432"/>
      <c r="K30" s="432"/>
      <c r="L30" s="432"/>
      <c r="N30" s="325"/>
      <c r="O30" s="299"/>
      <c r="P30" s="299"/>
      <c r="Q30" s="299"/>
    </row>
    <row r="31" spans="1:17" x14ac:dyDescent="0.55000000000000004">
      <c r="A31" s="296"/>
      <c r="B31" s="297" t="s">
        <v>585</v>
      </c>
      <c r="C31" s="476"/>
      <c r="D31" s="298"/>
      <c r="F31" s="302"/>
      <c r="G31" s="301"/>
      <c r="H31" s="459">
        <v>50000</v>
      </c>
      <c r="I31" s="432"/>
      <c r="J31" s="432"/>
      <c r="K31" s="444">
        <f>SUM(I30:I31)</f>
        <v>0</v>
      </c>
      <c r="L31" s="432">
        <v>0</v>
      </c>
      <c r="N31" s="453">
        <f>SUM(C29-K31)</f>
        <v>350000</v>
      </c>
      <c r="O31" s="311"/>
      <c r="P31" s="299"/>
      <c r="Q31" s="299"/>
    </row>
    <row r="32" spans="1:17" x14ac:dyDescent="0.55000000000000004">
      <c r="A32" s="296"/>
      <c r="B32" s="297"/>
      <c r="C32" s="476"/>
      <c r="D32" s="298"/>
      <c r="F32" s="302"/>
      <c r="G32" s="301"/>
      <c r="H32" s="459"/>
      <c r="I32" s="432"/>
      <c r="J32" s="432"/>
      <c r="K32" s="444"/>
      <c r="L32" s="432"/>
      <c r="N32" s="453"/>
      <c r="O32" s="311"/>
      <c r="P32" s="299"/>
      <c r="Q32" s="299"/>
    </row>
    <row r="33" spans="1:19" s="310" customFormat="1" ht="28.9" customHeight="1" x14ac:dyDescent="0.2">
      <c r="A33" s="572">
        <v>10</v>
      </c>
      <c r="B33" s="573" t="s">
        <v>389</v>
      </c>
      <c r="C33" s="614">
        <v>1760000</v>
      </c>
      <c r="D33" s="615" t="s">
        <v>88</v>
      </c>
      <c r="E33" s="616"/>
      <c r="F33" s="617" t="s">
        <v>390</v>
      </c>
      <c r="G33" s="618" t="s">
        <v>391</v>
      </c>
      <c r="H33" s="612"/>
      <c r="I33" s="590">
        <v>1473120</v>
      </c>
      <c r="J33" s="590">
        <v>286880</v>
      </c>
      <c r="K33" s="589">
        <v>1760000</v>
      </c>
      <c r="L33" s="590"/>
      <c r="M33" s="619"/>
      <c r="N33" s="620"/>
      <c r="O33" s="573"/>
      <c r="P33" s="573"/>
      <c r="Q33" s="573"/>
    </row>
    <row r="34" spans="1:19" s="310" customFormat="1" ht="28.9" customHeight="1" x14ac:dyDescent="0.2">
      <c r="A34" s="296"/>
      <c r="B34" s="297" t="s">
        <v>588</v>
      </c>
      <c r="C34" s="478"/>
      <c r="D34" s="313"/>
      <c r="E34" s="307"/>
      <c r="F34" s="308"/>
      <c r="G34" s="309"/>
      <c r="H34" s="459">
        <v>1636800</v>
      </c>
      <c r="I34" s="432"/>
      <c r="J34" s="432"/>
      <c r="K34" s="432"/>
      <c r="L34" s="432"/>
      <c r="N34" s="447"/>
      <c r="O34" s="297"/>
      <c r="P34" s="297"/>
      <c r="Q34" s="297"/>
    </row>
    <row r="35" spans="1:19" s="310" customFormat="1" ht="28.9" customHeight="1" x14ac:dyDescent="0.2">
      <c r="A35" s="296"/>
      <c r="B35" s="297" t="s">
        <v>587</v>
      </c>
      <c r="C35" s="478"/>
      <c r="D35" s="313"/>
      <c r="E35" s="307"/>
      <c r="F35" s="308"/>
      <c r="G35" s="309"/>
      <c r="H35" s="459">
        <v>286880</v>
      </c>
      <c r="I35" s="432"/>
      <c r="J35" s="432"/>
      <c r="K35" s="432">
        <f>SUM(H34:H35)</f>
        <v>1923680</v>
      </c>
      <c r="L35" s="432">
        <f>SUM(H35)</f>
        <v>286880</v>
      </c>
      <c r="N35" s="491">
        <f>SUM(C33-K35)</f>
        <v>-163680</v>
      </c>
      <c r="O35" s="621">
        <v>286880</v>
      </c>
      <c r="P35" s="297"/>
      <c r="Q35" s="297"/>
    </row>
    <row r="36" spans="1:19" s="310" customFormat="1" ht="28.9" customHeight="1" x14ac:dyDescent="0.2">
      <c r="A36" s="296"/>
      <c r="B36" s="297"/>
      <c r="C36" s="478"/>
      <c r="D36" s="313"/>
      <c r="E36" s="307"/>
      <c r="F36" s="308"/>
      <c r="G36" s="309"/>
      <c r="H36" s="459"/>
      <c r="I36" s="432"/>
      <c r="J36" s="432"/>
      <c r="K36" s="432"/>
      <c r="L36" s="432"/>
      <c r="N36" s="447"/>
      <c r="O36" s="297"/>
      <c r="P36" s="297"/>
      <c r="Q36" s="297"/>
    </row>
    <row r="37" spans="1:19" x14ac:dyDescent="0.55000000000000004">
      <c r="A37" s="597">
        <v>11</v>
      </c>
      <c r="B37" s="623" t="s">
        <v>392</v>
      </c>
      <c r="C37" s="624">
        <v>5000000</v>
      </c>
      <c r="D37" s="599" t="s">
        <v>88</v>
      </c>
      <c r="E37" s="600"/>
      <c r="F37" s="625" t="s">
        <v>369</v>
      </c>
      <c r="G37" s="601" t="s">
        <v>388</v>
      </c>
      <c r="H37" s="602">
        <v>4497000</v>
      </c>
      <c r="I37" s="603">
        <v>0</v>
      </c>
      <c r="J37" s="603">
        <v>0</v>
      </c>
      <c r="K37" s="604"/>
      <c r="L37" s="603"/>
      <c r="M37" s="605"/>
      <c r="N37" s="626"/>
      <c r="O37" s="600"/>
      <c r="P37" s="606"/>
      <c r="Q37" s="606">
        <f>SUM(C37-H37-H38)</f>
        <v>368000</v>
      </c>
    </row>
    <row r="38" spans="1:19" x14ac:dyDescent="0.55000000000000004">
      <c r="A38" s="296"/>
      <c r="B38" s="297" t="s">
        <v>612</v>
      </c>
      <c r="C38" s="479"/>
      <c r="D38" s="298"/>
      <c r="E38" s="299"/>
      <c r="F38" s="312"/>
      <c r="G38" s="301"/>
      <c r="H38" s="459">
        <v>135000</v>
      </c>
      <c r="I38" s="432">
        <v>0</v>
      </c>
      <c r="J38" s="432">
        <v>0</v>
      </c>
      <c r="K38" s="432">
        <f>SUM(H37:H38)</f>
        <v>4632000</v>
      </c>
      <c r="L38" s="432">
        <f>SUM(K38)</f>
        <v>4632000</v>
      </c>
      <c r="N38" s="453">
        <f>SUM(C37-L38)</f>
        <v>368000</v>
      </c>
      <c r="O38" s="311"/>
      <c r="P38" s="299"/>
      <c r="Q38" s="299"/>
    </row>
    <row r="39" spans="1:19" x14ac:dyDescent="0.55000000000000004">
      <c r="A39" s="296"/>
      <c r="B39" s="297"/>
      <c r="C39" s="479"/>
      <c r="D39" s="298"/>
      <c r="E39" s="299"/>
      <c r="F39" s="312"/>
      <c r="G39" s="301"/>
      <c r="H39" s="459"/>
      <c r="I39" s="432"/>
      <c r="J39" s="432"/>
      <c r="K39" s="432"/>
      <c r="L39" s="432"/>
      <c r="N39" s="325"/>
      <c r="O39" s="299"/>
      <c r="P39" s="299"/>
      <c r="Q39" s="299"/>
      <c r="S39" s="285" t="s">
        <v>613</v>
      </c>
    </row>
    <row r="40" spans="1:19" x14ac:dyDescent="0.55000000000000004">
      <c r="A40" s="597">
        <v>12</v>
      </c>
      <c r="B40" s="623" t="s">
        <v>393</v>
      </c>
      <c r="C40" s="624">
        <v>300000</v>
      </c>
      <c r="D40" s="599" t="s">
        <v>88</v>
      </c>
      <c r="E40" s="600"/>
      <c r="F40" s="627" t="s">
        <v>372</v>
      </c>
      <c r="G40" s="601" t="s">
        <v>388</v>
      </c>
      <c r="H40" s="602">
        <v>210000</v>
      </c>
      <c r="I40" s="603">
        <v>210000</v>
      </c>
      <c r="J40" s="603">
        <v>0</v>
      </c>
      <c r="K40" s="604"/>
      <c r="L40" s="603"/>
      <c r="M40" s="605"/>
      <c r="N40" s="626"/>
      <c r="O40" s="600"/>
      <c r="P40" s="628">
        <f>SUM(I40:I41-C40)</f>
        <v>-90000</v>
      </c>
      <c r="Q40" s="600"/>
      <c r="S40" s="285">
        <v>1358000</v>
      </c>
    </row>
    <row r="41" spans="1:19" x14ac:dyDescent="0.55000000000000004">
      <c r="A41" s="296"/>
      <c r="B41" s="297" t="s">
        <v>594</v>
      </c>
      <c r="C41" s="479"/>
      <c r="D41" s="298"/>
      <c r="F41" s="300"/>
      <c r="G41" s="301"/>
      <c r="H41" s="459">
        <v>165000</v>
      </c>
      <c r="I41" s="432">
        <v>165000</v>
      </c>
      <c r="J41" s="432"/>
      <c r="K41" s="432">
        <f>SUM(I40:I41)</f>
        <v>375000</v>
      </c>
      <c r="L41" s="444">
        <v>0</v>
      </c>
      <c r="N41" s="454">
        <f>SUM(C40-K41)</f>
        <v>-75000</v>
      </c>
      <c r="O41" s="550"/>
      <c r="P41" s="299"/>
      <c r="Q41" s="299"/>
    </row>
    <row r="42" spans="1:19" x14ac:dyDescent="0.55000000000000004">
      <c r="A42" s="296"/>
      <c r="B42" s="297"/>
      <c r="C42" s="479"/>
      <c r="D42" s="298"/>
      <c r="F42" s="300"/>
      <c r="G42" s="301"/>
      <c r="H42" s="459"/>
      <c r="I42" s="432"/>
      <c r="J42" s="432"/>
      <c r="K42" s="432"/>
      <c r="L42" s="444"/>
      <c r="N42" s="454"/>
      <c r="O42" s="550"/>
      <c r="P42" s="299"/>
      <c r="Q42" s="299"/>
    </row>
    <row r="43" spans="1:19" s="310" customFormat="1" ht="16.5" customHeight="1" x14ac:dyDescent="0.2">
      <c r="A43" s="597">
        <v>13</v>
      </c>
      <c r="B43" s="623" t="s">
        <v>394</v>
      </c>
      <c r="C43" s="629">
        <v>800000</v>
      </c>
      <c r="D43" s="630" t="s">
        <v>88</v>
      </c>
      <c r="E43" s="631"/>
      <c r="F43" s="598" t="s">
        <v>375</v>
      </c>
      <c r="G43" s="632" t="s">
        <v>395</v>
      </c>
      <c r="H43" s="602"/>
      <c r="I43" s="603"/>
      <c r="J43" s="603"/>
      <c r="K43" s="603"/>
      <c r="L43" s="603"/>
      <c r="M43" s="631"/>
      <c r="N43" s="633"/>
      <c r="O43" s="623"/>
      <c r="P43" s="634">
        <f>SUM(C43-I44)</f>
        <v>-93500</v>
      </c>
      <c r="Q43" s="623"/>
    </row>
    <row r="44" spans="1:19" s="310" customFormat="1" x14ac:dyDescent="0.2">
      <c r="A44" s="296"/>
      <c r="B44" s="297" t="s">
        <v>583</v>
      </c>
      <c r="C44" s="480"/>
      <c r="D44" s="313"/>
      <c r="F44" s="303"/>
      <c r="G44" s="309"/>
      <c r="H44" s="459">
        <v>893500</v>
      </c>
      <c r="I44" s="432">
        <v>893500</v>
      </c>
      <c r="J44" s="432"/>
      <c r="K44" s="444">
        <f>SUM(I44)</f>
        <v>893500</v>
      </c>
      <c r="L44" s="444">
        <v>0</v>
      </c>
      <c r="N44" s="491">
        <f>SUM(C43-K44)</f>
        <v>-93500</v>
      </c>
      <c r="O44" s="621"/>
      <c r="P44" s="297"/>
      <c r="Q44" s="297"/>
    </row>
    <row r="45" spans="1:19" ht="24" x14ac:dyDescent="0.55000000000000004">
      <c r="A45" s="296"/>
      <c r="B45" s="340" t="s">
        <v>576</v>
      </c>
      <c r="C45" s="481">
        <f>SUM(C5:C43)</f>
        <v>14877000</v>
      </c>
      <c r="D45" s="298"/>
      <c r="E45" s="299"/>
      <c r="F45" s="300"/>
      <c r="G45" s="301"/>
      <c r="H45" s="460">
        <f>SUM(H4:H44)</f>
        <v>18906880</v>
      </c>
      <c r="I45" s="460">
        <f>SUM(I4:I44)</f>
        <v>13824320</v>
      </c>
      <c r="J45" s="460"/>
      <c r="K45" s="460">
        <f>SUM(K4:K44)</f>
        <v>17302580</v>
      </c>
      <c r="L45" s="460">
        <f>SUM(L4:L44)</f>
        <v>4918880</v>
      </c>
      <c r="N45" s="325"/>
      <c r="O45" s="328">
        <f t="shared" ref="O45:P45" si="0">SUM(O4:O44)</f>
        <v>286880</v>
      </c>
      <c r="P45" s="328">
        <f t="shared" si="0"/>
        <v>-1732800</v>
      </c>
      <c r="Q45" s="328">
        <f>SUM(Q4:Q44)</f>
        <v>1687900</v>
      </c>
      <c r="R45" s="450">
        <f>SUM(Q45+O45)</f>
        <v>1974780</v>
      </c>
      <c r="S45" s="285" t="s">
        <v>620</v>
      </c>
    </row>
    <row r="46" spans="1:19" s="431" customFormat="1" x14ac:dyDescent="0.55000000000000004">
      <c r="A46" s="426"/>
      <c r="B46" s="499" t="s">
        <v>397</v>
      </c>
      <c r="C46" s="475"/>
      <c r="D46" s="427"/>
      <c r="E46" s="428"/>
      <c r="F46" s="429"/>
      <c r="G46" s="430"/>
      <c r="H46" s="461"/>
      <c r="I46" s="441"/>
      <c r="J46" s="441"/>
      <c r="K46" s="441"/>
      <c r="L46" s="441"/>
      <c r="N46" s="452"/>
      <c r="O46" s="635"/>
      <c r="P46" s="635"/>
      <c r="Q46" s="635"/>
    </row>
    <row r="47" spans="1:19" x14ac:dyDescent="0.55000000000000004">
      <c r="A47" s="296"/>
      <c r="B47" s="435" t="s">
        <v>399</v>
      </c>
      <c r="C47" s="482"/>
      <c r="D47" s="436"/>
      <c r="E47" s="299"/>
      <c r="F47" s="322"/>
      <c r="G47" s="301"/>
      <c r="H47" s="462"/>
      <c r="I47" s="432"/>
      <c r="J47" s="432"/>
      <c r="K47" s="432"/>
      <c r="L47" s="432"/>
      <c r="N47" s="325"/>
      <c r="O47" s="299"/>
      <c r="P47" s="299"/>
      <c r="Q47" s="299"/>
    </row>
    <row r="48" spans="1:19" s="310" customFormat="1" ht="27" customHeight="1" x14ac:dyDescent="0.2">
      <c r="A48" s="296">
        <v>1</v>
      </c>
      <c r="B48" s="438" t="s">
        <v>400</v>
      </c>
      <c r="C48" s="483">
        <v>6000000</v>
      </c>
      <c r="D48" s="297"/>
      <c r="E48" s="445"/>
      <c r="F48" s="446" t="s">
        <v>399</v>
      </c>
      <c r="G48" s="309" t="s">
        <v>401</v>
      </c>
      <c r="H48" s="463"/>
      <c r="I48" s="432">
        <f>SUM(H49:H58)</f>
        <v>1293300</v>
      </c>
      <c r="J48" s="432"/>
      <c r="K48" s="432">
        <v>6000000</v>
      </c>
      <c r="L48" s="432">
        <f>SUM(C48)</f>
        <v>6000000</v>
      </c>
      <c r="M48" s="444" t="s">
        <v>566</v>
      </c>
      <c r="N48" s="447"/>
      <c r="O48" s="297"/>
      <c r="P48" s="297"/>
      <c r="Q48" s="307">
        <f>SUM(C48-I48)</f>
        <v>4706700</v>
      </c>
    </row>
    <row r="49" spans="1:17" s="310" customFormat="1" ht="27" customHeight="1" x14ac:dyDescent="0.2">
      <c r="A49" s="296"/>
      <c r="B49" s="438" t="s">
        <v>597</v>
      </c>
      <c r="C49" s="483"/>
      <c r="D49" s="447"/>
      <c r="E49" s="445"/>
      <c r="F49" s="446"/>
      <c r="G49" s="309"/>
      <c r="H49" s="464">
        <v>300000</v>
      </c>
      <c r="I49" s="432"/>
      <c r="J49" s="432"/>
      <c r="K49" s="432"/>
      <c r="L49" s="464"/>
      <c r="M49" s="444"/>
      <c r="N49" s="447"/>
      <c r="O49" s="297"/>
      <c r="P49" s="297"/>
      <c r="Q49" s="297"/>
    </row>
    <row r="50" spans="1:17" s="310" customFormat="1" ht="27" customHeight="1" x14ac:dyDescent="0.2">
      <c r="A50" s="296"/>
      <c r="B50" s="438" t="s">
        <v>598</v>
      </c>
      <c r="C50" s="483"/>
      <c r="D50" s="447"/>
      <c r="E50" s="445"/>
      <c r="F50" s="446"/>
      <c r="G50" s="309"/>
      <c r="H50" s="464"/>
      <c r="I50" s="432"/>
      <c r="J50" s="432"/>
      <c r="K50" s="432"/>
      <c r="L50" s="464"/>
      <c r="M50" s="444"/>
      <c r="N50" s="447"/>
      <c r="O50" s="297"/>
      <c r="P50" s="297"/>
      <c r="Q50" s="297"/>
    </row>
    <row r="51" spans="1:17" s="310" customFormat="1" ht="27" customHeight="1" x14ac:dyDescent="0.2">
      <c r="A51" s="296"/>
      <c r="B51" s="438" t="s">
        <v>599</v>
      </c>
      <c r="C51" s="483"/>
      <c r="D51" s="447"/>
      <c r="E51" s="445"/>
      <c r="F51" s="446"/>
      <c r="G51" s="309"/>
      <c r="H51" s="464">
        <v>86957</v>
      </c>
      <c r="I51" s="432"/>
      <c r="J51" s="432"/>
      <c r="K51" s="432"/>
      <c r="L51" s="464"/>
      <c r="M51" s="444"/>
      <c r="N51" s="447"/>
      <c r="O51" s="297"/>
      <c r="P51" s="297"/>
      <c r="Q51" s="297"/>
    </row>
    <row r="52" spans="1:17" s="310" customFormat="1" ht="27" customHeight="1" x14ac:dyDescent="0.2">
      <c r="A52" s="296"/>
      <c r="B52" s="438" t="s">
        <v>600</v>
      </c>
      <c r="C52" s="483"/>
      <c r="D52" s="447"/>
      <c r="E52" s="445"/>
      <c r="F52" s="446"/>
      <c r="G52" s="309"/>
      <c r="H52" s="464">
        <v>63048</v>
      </c>
      <c r="I52" s="432"/>
      <c r="J52" s="432"/>
      <c r="K52" s="432"/>
      <c r="L52" s="464"/>
      <c r="M52" s="444"/>
      <c r="N52" s="447"/>
      <c r="O52" s="297"/>
      <c r="P52" s="297"/>
      <c r="Q52" s="297"/>
    </row>
    <row r="53" spans="1:17" s="310" customFormat="1" ht="27" customHeight="1" x14ac:dyDescent="0.2">
      <c r="A53" s="296"/>
      <c r="B53" s="438" t="s">
        <v>605</v>
      </c>
      <c r="C53" s="483"/>
      <c r="D53" s="447"/>
      <c r="E53" s="445"/>
      <c r="F53" s="446"/>
      <c r="G53" s="309"/>
      <c r="H53" s="464">
        <v>55000</v>
      </c>
      <c r="I53" s="432"/>
      <c r="J53" s="432"/>
      <c r="K53" s="432"/>
      <c r="L53" s="464"/>
      <c r="M53" s="444"/>
      <c r="N53" s="447"/>
      <c r="O53" s="297"/>
      <c r="P53" s="297"/>
      <c r="Q53" s="297"/>
    </row>
    <row r="54" spans="1:17" s="310" customFormat="1" ht="27" customHeight="1" x14ac:dyDescent="0.2">
      <c r="A54" s="296"/>
      <c r="B54" s="438" t="s">
        <v>603</v>
      </c>
      <c r="C54" s="483"/>
      <c r="D54" s="447"/>
      <c r="E54" s="445"/>
      <c r="F54" s="446"/>
      <c r="G54" s="309"/>
      <c r="H54" s="464">
        <v>33695</v>
      </c>
      <c r="I54" s="432"/>
      <c r="J54" s="432"/>
      <c r="K54" s="432"/>
      <c r="L54" s="464"/>
      <c r="M54" s="444"/>
      <c r="N54" s="447"/>
      <c r="O54" s="297"/>
      <c r="P54" s="297"/>
      <c r="Q54" s="297"/>
    </row>
    <row r="55" spans="1:17" s="310" customFormat="1" ht="27" customHeight="1" x14ac:dyDescent="0.2">
      <c r="A55" s="296"/>
      <c r="B55" s="438" t="s">
        <v>604</v>
      </c>
      <c r="C55" s="483"/>
      <c r="D55" s="447"/>
      <c r="E55" s="445"/>
      <c r="F55" s="446"/>
      <c r="G55" s="309"/>
      <c r="H55" s="464">
        <v>54600</v>
      </c>
      <c r="I55" s="432"/>
      <c r="J55" s="432"/>
      <c r="K55" s="432"/>
      <c r="L55" s="464"/>
      <c r="M55" s="444"/>
      <c r="N55" s="447"/>
      <c r="O55" s="297"/>
      <c r="P55" s="297"/>
      <c r="Q55" s="297"/>
    </row>
    <row r="56" spans="1:17" s="310" customFormat="1" ht="27" customHeight="1" x14ac:dyDescent="0.2">
      <c r="A56" s="296"/>
      <c r="B56" s="438" t="s">
        <v>607</v>
      </c>
      <c r="C56" s="483"/>
      <c r="D56" s="447"/>
      <c r="E56" s="445"/>
      <c r="F56" s="446"/>
      <c r="G56" s="309"/>
      <c r="H56" s="464">
        <v>150000</v>
      </c>
      <c r="I56" s="432"/>
      <c r="J56" s="432"/>
      <c r="K56" s="432"/>
      <c r="L56" s="464"/>
      <c r="M56" s="444"/>
      <c r="N56" s="447"/>
      <c r="O56" s="297"/>
      <c r="P56" s="297"/>
      <c r="Q56" s="297"/>
    </row>
    <row r="57" spans="1:17" ht="33" x14ac:dyDescent="0.55000000000000004">
      <c r="A57" s="296"/>
      <c r="B57" s="438" t="s">
        <v>609</v>
      </c>
      <c r="C57" s="484"/>
      <c r="H57" s="464">
        <v>170000</v>
      </c>
      <c r="I57" s="299"/>
      <c r="J57" s="299"/>
      <c r="K57" s="299"/>
      <c r="L57" s="464"/>
      <c r="M57" s="299"/>
      <c r="N57" s="299"/>
      <c r="O57" s="299"/>
      <c r="P57" s="299"/>
      <c r="Q57" s="299"/>
    </row>
    <row r="58" spans="1:17" ht="33" x14ac:dyDescent="0.55000000000000004">
      <c r="A58" s="296"/>
      <c r="B58" s="438" t="s">
        <v>610</v>
      </c>
      <c r="C58" s="484"/>
      <c r="H58" s="464">
        <v>380000</v>
      </c>
      <c r="I58" s="299"/>
      <c r="J58" s="299"/>
      <c r="K58" s="299"/>
      <c r="L58" s="464"/>
      <c r="M58" s="299"/>
      <c r="N58" s="299"/>
      <c r="O58" s="299"/>
      <c r="P58" s="299"/>
      <c r="Q58" s="299"/>
    </row>
    <row r="59" spans="1:17" s="310" customFormat="1" ht="27" customHeight="1" x14ac:dyDescent="0.2">
      <c r="A59" s="296"/>
      <c r="B59" s="438"/>
      <c r="C59" s="483"/>
      <c r="D59" s="447"/>
      <c r="E59" s="445"/>
      <c r="F59" s="446"/>
      <c r="G59" s="309"/>
      <c r="H59" s="464"/>
      <c r="I59" s="432"/>
      <c r="J59" s="432"/>
      <c r="K59" s="432"/>
      <c r="L59" s="432"/>
      <c r="M59" s="444"/>
      <c r="N59" s="447"/>
      <c r="O59" s="297"/>
      <c r="P59" s="297"/>
      <c r="Q59" s="297"/>
    </row>
    <row r="60" spans="1:17" s="310" customFormat="1" ht="27" customHeight="1" x14ac:dyDescent="0.2">
      <c r="A60" s="296">
        <v>2</v>
      </c>
      <c r="B60" s="439" t="s">
        <v>402</v>
      </c>
      <c r="C60" s="480">
        <v>1000000</v>
      </c>
      <c r="D60" s="447"/>
      <c r="E60" s="307"/>
      <c r="F60" s="446" t="s">
        <v>399</v>
      </c>
      <c r="G60" s="309" t="s">
        <v>401</v>
      </c>
      <c r="H60" s="464"/>
      <c r="I60" s="432">
        <f>SUM(H61:H63)</f>
        <v>236500</v>
      </c>
      <c r="J60" s="432"/>
      <c r="K60" s="432">
        <v>1000000</v>
      </c>
      <c r="L60" s="432">
        <f>SUM(C60)</f>
        <v>1000000</v>
      </c>
      <c r="M60" s="444" t="s">
        <v>565</v>
      </c>
      <c r="N60" s="447"/>
      <c r="O60" s="297"/>
      <c r="P60" s="297"/>
      <c r="Q60" s="307">
        <f>SUM(C60-I60)</f>
        <v>763500</v>
      </c>
    </row>
    <row r="61" spans="1:17" s="310" customFormat="1" ht="27" customHeight="1" x14ac:dyDescent="0.2">
      <c r="A61" s="296"/>
      <c r="B61" s="439" t="s">
        <v>601</v>
      </c>
      <c r="C61" s="480"/>
      <c r="D61" s="447"/>
      <c r="E61" s="307"/>
      <c r="F61" s="446"/>
      <c r="G61" s="309"/>
      <c r="H61" s="464">
        <v>50000</v>
      </c>
      <c r="I61" s="432"/>
      <c r="J61" s="432"/>
      <c r="K61" s="432"/>
      <c r="L61" s="464"/>
      <c r="M61" s="444"/>
      <c r="N61" s="447"/>
      <c r="O61" s="297"/>
      <c r="P61" s="297"/>
      <c r="Q61" s="297"/>
    </row>
    <row r="62" spans="1:17" s="310" customFormat="1" ht="27" customHeight="1" x14ac:dyDescent="0.2">
      <c r="A62" s="296"/>
      <c r="B62" s="439" t="s">
        <v>602</v>
      </c>
      <c r="C62" s="480"/>
      <c r="D62" s="447"/>
      <c r="E62" s="307"/>
      <c r="F62" s="446"/>
      <c r="G62" s="309"/>
      <c r="H62" s="464">
        <v>82000</v>
      </c>
      <c r="I62" s="432"/>
      <c r="J62" s="432"/>
      <c r="K62" s="432"/>
      <c r="L62" s="464"/>
      <c r="M62" s="444"/>
      <c r="N62" s="447"/>
      <c r="O62" s="297"/>
      <c r="P62" s="297"/>
      <c r="Q62" s="297"/>
    </row>
    <row r="63" spans="1:17" s="310" customFormat="1" ht="27" customHeight="1" x14ac:dyDescent="0.2">
      <c r="A63" s="296"/>
      <c r="B63" s="439" t="s">
        <v>606</v>
      </c>
      <c r="C63" s="480"/>
      <c r="D63" s="447"/>
      <c r="E63" s="307"/>
      <c r="F63" s="446"/>
      <c r="G63" s="309"/>
      <c r="H63" s="464">
        <v>104500</v>
      </c>
      <c r="I63" s="432"/>
      <c r="J63" s="432"/>
      <c r="K63" s="432"/>
      <c r="L63" s="464"/>
      <c r="M63" s="444"/>
      <c r="N63" s="447"/>
      <c r="O63" s="297"/>
      <c r="P63" s="297"/>
      <c r="Q63" s="297"/>
    </row>
    <row r="64" spans="1:17" s="310" customFormat="1" ht="27" customHeight="1" x14ac:dyDescent="0.2">
      <c r="A64" s="296"/>
      <c r="B64" s="439"/>
      <c r="C64" s="480"/>
      <c r="D64" s="447"/>
      <c r="E64" s="307"/>
      <c r="F64" s="446"/>
      <c r="G64" s="309"/>
      <c r="H64" s="464"/>
      <c r="I64" s="432"/>
      <c r="J64" s="432"/>
      <c r="K64" s="432"/>
      <c r="L64" s="464"/>
      <c r="M64" s="444"/>
      <c r="N64" s="447"/>
      <c r="O64" s="297"/>
      <c r="P64" s="297"/>
      <c r="Q64" s="297"/>
    </row>
    <row r="65" spans="1:17" s="310" customFormat="1" ht="27" customHeight="1" x14ac:dyDescent="0.2">
      <c r="A65" s="296">
        <v>3</v>
      </c>
      <c r="B65" s="438" t="s">
        <v>403</v>
      </c>
      <c r="C65" s="480">
        <v>900000</v>
      </c>
      <c r="D65" s="447"/>
      <c r="E65" s="307"/>
      <c r="F65" s="446" t="s">
        <v>399</v>
      </c>
      <c r="G65" s="309" t="s">
        <v>401</v>
      </c>
      <c r="H65" s="464"/>
      <c r="I65" s="432"/>
      <c r="J65" s="432"/>
      <c r="K65" s="496">
        <v>900000</v>
      </c>
      <c r="L65" s="432">
        <f>SUM(C65)</f>
        <v>900000</v>
      </c>
      <c r="M65" s="432"/>
      <c r="N65" s="447"/>
      <c r="O65" s="297"/>
      <c r="P65" s="297"/>
      <c r="Q65" s="297"/>
    </row>
    <row r="66" spans="1:17" s="310" customFormat="1" ht="27" customHeight="1" x14ac:dyDescent="0.2">
      <c r="A66" s="296">
        <v>4</v>
      </c>
      <c r="B66" s="438" t="s">
        <v>404</v>
      </c>
      <c r="C66" s="480">
        <f>150000</f>
        <v>150000</v>
      </c>
      <c r="D66" s="447"/>
      <c r="E66" s="307"/>
      <c r="F66" s="446" t="s">
        <v>399</v>
      </c>
      <c r="G66" s="309" t="s">
        <v>401</v>
      </c>
      <c r="H66" s="464"/>
      <c r="I66" s="432"/>
      <c r="J66" s="432"/>
      <c r="K66" s="496">
        <f>150000</f>
        <v>150000</v>
      </c>
      <c r="L66" s="432">
        <f>SUM(C66)</f>
        <v>150000</v>
      </c>
      <c r="M66" s="432"/>
      <c r="N66" s="447"/>
      <c r="O66" s="297"/>
      <c r="P66" s="297"/>
      <c r="Q66" s="297"/>
    </row>
    <row r="67" spans="1:17" s="310" customFormat="1" ht="27" customHeight="1" x14ac:dyDescent="0.2">
      <c r="A67" s="296">
        <v>5</v>
      </c>
      <c r="B67" s="438" t="s">
        <v>405</v>
      </c>
      <c r="C67" s="480">
        <v>450000</v>
      </c>
      <c r="D67" s="447"/>
      <c r="E67" s="307"/>
      <c r="F67" s="446" t="s">
        <v>399</v>
      </c>
      <c r="G67" s="309" t="s">
        <v>401</v>
      </c>
      <c r="H67" s="464">
        <v>80000</v>
      </c>
      <c r="I67" s="432"/>
      <c r="J67" s="432"/>
      <c r="K67" s="496">
        <v>450000</v>
      </c>
      <c r="L67" s="432">
        <f>SUM(C67)</f>
        <v>450000</v>
      </c>
      <c r="M67" s="432"/>
      <c r="N67" s="447"/>
      <c r="O67" s="297"/>
      <c r="P67" s="297"/>
      <c r="Q67" s="297"/>
    </row>
    <row r="68" spans="1:17" s="310" customFormat="1" ht="27" customHeight="1" x14ac:dyDescent="0.2">
      <c r="A68" s="296">
        <v>6</v>
      </c>
      <c r="B68" s="440" t="s">
        <v>406</v>
      </c>
      <c r="C68" s="480">
        <v>1000000</v>
      </c>
      <c r="D68" s="447"/>
      <c r="E68" s="307"/>
      <c r="F68" s="446" t="s">
        <v>399</v>
      </c>
      <c r="G68" s="309" t="s">
        <v>401</v>
      </c>
      <c r="H68" s="465"/>
      <c r="I68" s="432"/>
      <c r="J68" s="432"/>
      <c r="K68" s="496">
        <v>1000000</v>
      </c>
      <c r="L68" s="432">
        <f>SUM(C67)</f>
        <v>450000</v>
      </c>
      <c r="M68" s="432"/>
      <c r="N68" s="447"/>
      <c r="O68" s="297"/>
      <c r="P68" s="297"/>
      <c r="Q68" s="297"/>
    </row>
    <row r="69" spans="1:17" s="310" customFormat="1" ht="27" customHeight="1" x14ac:dyDescent="0.2">
      <c r="A69" s="296">
        <v>7</v>
      </c>
      <c r="B69" s="440" t="s">
        <v>407</v>
      </c>
      <c r="C69" s="480">
        <v>1000000</v>
      </c>
      <c r="D69" s="448"/>
      <c r="E69" s="307"/>
      <c r="F69" s="446" t="s">
        <v>399</v>
      </c>
      <c r="G69" s="309" t="s">
        <v>401</v>
      </c>
      <c r="H69" s="466"/>
      <c r="I69" s="432"/>
      <c r="J69" s="432"/>
      <c r="K69" s="496">
        <v>1000000</v>
      </c>
      <c r="L69" s="432">
        <f>SUM(C68)</f>
        <v>1000000</v>
      </c>
      <c r="M69" s="432"/>
      <c r="N69" s="447"/>
      <c r="O69" s="297"/>
      <c r="P69" s="297"/>
      <c r="Q69" s="297"/>
    </row>
    <row r="70" spans="1:17" s="310" customFormat="1" ht="27" customHeight="1" x14ac:dyDescent="0.2">
      <c r="A70" s="296"/>
      <c r="B70" s="440" t="s">
        <v>616</v>
      </c>
      <c r="C70" s="480"/>
      <c r="D70" s="448"/>
      <c r="E70" s="307"/>
      <c r="F70" s="446"/>
      <c r="G70" s="309"/>
      <c r="H70" s="466">
        <v>622500</v>
      </c>
      <c r="I70" s="432"/>
      <c r="J70" s="432"/>
      <c r="K70" s="432"/>
      <c r="L70" s="432"/>
      <c r="M70" s="432"/>
      <c r="N70" s="447"/>
      <c r="O70" s="297"/>
      <c r="P70" s="297"/>
      <c r="Q70" s="297"/>
    </row>
    <row r="71" spans="1:17" s="310" customFormat="1" ht="27" customHeight="1" x14ac:dyDescent="0.2">
      <c r="A71" s="296">
        <v>8</v>
      </c>
      <c r="B71" s="439" t="s">
        <v>621</v>
      </c>
      <c r="C71" s="480"/>
      <c r="D71" s="447"/>
      <c r="E71" s="307"/>
      <c r="F71" s="446"/>
      <c r="G71" s="309"/>
      <c r="H71" s="464">
        <v>34774</v>
      </c>
      <c r="I71" s="432"/>
      <c r="J71" s="432"/>
      <c r="K71" s="432"/>
      <c r="L71" s="464"/>
      <c r="M71" s="444"/>
      <c r="N71" s="447"/>
      <c r="O71" s="297"/>
      <c r="P71" s="297"/>
      <c r="Q71" s="297"/>
    </row>
    <row r="72" spans="1:17" s="310" customFormat="1" ht="27" customHeight="1" x14ac:dyDescent="0.2">
      <c r="A72" s="296"/>
      <c r="B72" s="440"/>
      <c r="C72" s="480"/>
      <c r="D72" s="448"/>
      <c r="E72" s="307"/>
      <c r="F72" s="446"/>
      <c r="G72" s="309"/>
      <c r="H72" s="466"/>
      <c r="I72" s="432"/>
      <c r="J72" s="432"/>
      <c r="K72" s="432"/>
      <c r="L72" s="432"/>
      <c r="M72" s="432"/>
      <c r="N72" s="447"/>
      <c r="O72" s="297"/>
      <c r="P72" s="297"/>
      <c r="Q72" s="297"/>
    </row>
    <row r="73" spans="1:17" s="310" customFormat="1" ht="27" customHeight="1" x14ac:dyDescent="0.2">
      <c r="A73" s="296">
        <v>9</v>
      </c>
      <c r="B73" s="440" t="s">
        <v>408</v>
      </c>
      <c r="C73" s="480">
        <v>400000</v>
      </c>
      <c r="D73" s="297"/>
      <c r="E73" s="307"/>
      <c r="F73" s="446" t="s">
        <v>399</v>
      </c>
      <c r="G73" s="309" t="s">
        <v>401</v>
      </c>
      <c r="H73" s="467"/>
      <c r="I73" s="432"/>
      <c r="J73" s="432"/>
      <c r="K73" s="496">
        <v>400000</v>
      </c>
      <c r="L73" s="496">
        <v>400000</v>
      </c>
      <c r="M73" s="432"/>
      <c r="N73" s="447"/>
      <c r="O73" s="297"/>
      <c r="P73" s="297"/>
      <c r="Q73" s="297"/>
    </row>
    <row r="74" spans="1:17" s="310" customFormat="1" ht="27" customHeight="1" x14ac:dyDescent="0.2">
      <c r="A74" s="296">
        <v>10</v>
      </c>
      <c r="B74" s="297" t="s">
        <v>608</v>
      </c>
      <c r="C74" s="480">
        <v>1950000</v>
      </c>
      <c r="D74" s="297"/>
      <c r="E74" s="307"/>
      <c r="F74" s="303" t="s">
        <v>369</v>
      </c>
      <c r="G74" s="309" t="s">
        <v>388</v>
      </c>
      <c r="H74" s="459"/>
      <c r="I74" s="432"/>
      <c r="J74" s="432"/>
      <c r="K74" s="496">
        <v>1950000</v>
      </c>
      <c r="L74" s="496">
        <v>1950000</v>
      </c>
      <c r="M74" s="432" t="s">
        <v>410</v>
      </c>
      <c r="N74" s="447"/>
      <c r="O74" s="297"/>
      <c r="P74" s="297"/>
      <c r="Q74" s="297"/>
    </row>
    <row r="75" spans="1:17" s="310" customFormat="1" ht="27" customHeight="1" x14ac:dyDescent="0.2">
      <c r="A75" s="296">
        <v>11</v>
      </c>
      <c r="B75" s="297" t="s">
        <v>411</v>
      </c>
      <c r="C75" s="480">
        <v>4500000</v>
      </c>
      <c r="D75" s="313"/>
      <c r="E75" s="307"/>
      <c r="F75" s="308" t="s">
        <v>390</v>
      </c>
      <c r="G75" s="309" t="s">
        <v>391</v>
      </c>
      <c r="H75" s="459"/>
      <c r="I75" s="432"/>
      <c r="J75" s="432"/>
      <c r="K75" s="496">
        <v>4500000</v>
      </c>
      <c r="L75" s="496">
        <v>4500000</v>
      </c>
      <c r="M75" s="432" t="s">
        <v>567</v>
      </c>
      <c r="N75" s="447"/>
      <c r="O75" s="297"/>
      <c r="P75" s="297"/>
      <c r="Q75" s="297"/>
    </row>
    <row r="76" spans="1:17" s="310" customFormat="1" ht="27" customHeight="1" x14ac:dyDescent="0.2">
      <c r="A76" s="296">
        <v>12</v>
      </c>
      <c r="B76" s="308" t="s">
        <v>412</v>
      </c>
      <c r="C76" s="480">
        <v>100000</v>
      </c>
      <c r="D76" s="449"/>
      <c r="E76" s="307"/>
      <c r="F76" s="303" t="s">
        <v>413</v>
      </c>
      <c r="G76" s="309" t="s">
        <v>388</v>
      </c>
      <c r="H76" s="468"/>
      <c r="I76" s="432"/>
      <c r="J76" s="432"/>
      <c r="K76" s="496">
        <v>100000</v>
      </c>
      <c r="L76" s="496">
        <v>100000</v>
      </c>
      <c r="M76" s="432">
        <v>200000</v>
      </c>
      <c r="N76" s="447"/>
      <c r="O76" s="297"/>
      <c r="P76" s="297"/>
      <c r="Q76" s="297"/>
    </row>
    <row r="77" spans="1:17" s="310" customFormat="1" ht="27" customHeight="1" x14ac:dyDescent="0.2">
      <c r="A77" s="296">
        <v>13</v>
      </c>
      <c r="B77" s="303" t="s">
        <v>414</v>
      </c>
      <c r="C77" s="480">
        <v>500000</v>
      </c>
      <c r="D77" s="447"/>
      <c r="E77" s="307"/>
      <c r="F77" s="303" t="s">
        <v>415</v>
      </c>
      <c r="G77" s="309" t="s">
        <v>388</v>
      </c>
      <c r="H77" s="469">
        <v>495000</v>
      </c>
      <c r="I77" s="432">
        <v>495000</v>
      </c>
      <c r="J77" s="432"/>
      <c r="K77" s="432">
        <v>500000</v>
      </c>
      <c r="L77" s="432"/>
      <c r="M77" s="432"/>
      <c r="N77" s="495">
        <f>SUM(C77-K77)</f>
        <v>0</v>
      </c>
      <c r="O77" s="307"/>
      <c r="P77" s="297"/>
      <c r="Q77" s="297"/>
    </row>
    <row r="78" spans="1:17" x14ac:dyDescent="0.55000000000000004">
      <c r="A78" s="296">
        <v>14</v>
      </c>
      <c r="B78" s="303" t="s">
        <v>416</v>
      </c>
      <c r="C78" s="479">
        <v>1200000</v>
      </c>
      <c r="D78" s="325"/>
      <c r="E78" s="311"/>
      <c r="F78" s="305" t="s">
        <v>390</v>
      </c>
      <c r="G78" s="301" t="s">
        <v>388</v>
      </c>
      <c r="H78" s="469"/>
      <c r="I78" s="432"/>
      <c r="J78" s="432"/>
      <c r="K78" s="432">
        <v>1200000</v>
      </c>
      <c r="L78" s="432"/>
      <c r="M78" s="328" t="s">
        <v>568</v>
      </c>
      <c r="N78" s="325"/>
      <c r="O78" s="299"/>
      <c r="P78" s="299"/>
      <c r="Q78" s="299"/>
    </row>
    <row r="79" spans="1:17" x14ac:dyDescent="0.55000000000000004">
      <c r="A79" s="296">
        <v>15</v>
      </c>
      <c r="B79" s="303" t="s">
        <v>614</v>
      </c>
      <c r="C79" s="479"/>
      <c r="D79" s="325"/>
      <c r="E79" s="311"/>
      <c r="F79" s="305"/>
      <c r="G79" s="301"/>
      <c r="H79" s="469">
        <v>480000</v>
      </c>
      <c r="I79" s="432">
        <v>0</v>
      </c>
      <c r="J79" s="432"/>
      <c r="K79" s="432"/>
      <c r="L79" s="432">
        <v>480000</v>
      </c>
      <c r="M79" s="328"/>
      <c r="N79" s="453">
        <f>SUM(C78-L79)</f>
        <v>720000</v>
      </c>
      <c r="O79" s="311"/>
      <c r="P79" s="299"/>
      <c r="Q79" s="299"/>
    </row>
    <row r="80" spans="1:17" ht="23.25" customHeight="1" x14ac:dyDescent="0.55000000000000004">
      <c r="A80" s="296">
        <v>16</v>
      </c>
      <c r="B80" s="308" t="s">
        <v>417</v>
      </c>
      <c r="C80" s="479">
        <v>300000</v>
      </c>
      <c r="D80" s="325"/>
      <c r="E80" s="311"/>
      <c r="F80" s="305" t="s">
        <v>390</v>
      </c>
      <c r="G80" s="301" t="s">
        <v>370</v>
      </c>
      <c r="H80" s="470"/>
      <c r="I80" s="432"/>
      <c r="J80" s="432"/>
      <c r="K80" s="492">
        <v>300000</v>
      </c>
      <c r="L80" s="432"/>
      <c r="M80" s="328"/>
      <c r="N80" s="325"/>
      <c r="O80" s="299"/>
      <c r="P80" s="299"/>
      <c r="Q80" s="299"/>
    </row>
    <row r="81" spans="1:17" x14ac:dyDescent="0.55000000000000004">
      <c r="A81" s="296">
        <v>17</v>
      </c>
      <c r="B81" s="308" t="s">
        <v>418</v>
      </c>
      <c r="C81" s="479">
        <v>100000</v>
      </c>
      <c r="D81" s="325"/>
      <c r="E81" s="311"/>
      <c r="F81" s="312" t="s">
        <v>419</v>
      </c>
      <c r="G81" s="301" t="s">
        <v>420</v>
      </c>
      <c r="H81" s="470"/>
      <c r="I81" s="432"/>
      <c r="J81" s="432"/>
      <c r="K81" s="492">
        <v>100000</v>
      </c>
      <c r="L81" s="432"/>
      <c r="M81" s="328"/>
      <c r="N81" s="325"/>
      <c r="O81" s="299"/>
      <c r="P81" s="299"/>
      <c r="Q81" s="299"/>
    </row>
    <row r="82" spans="1:17" ht="24" customHeight="1" x14ac:dyDescent="0.55000000000000004">
      <c r="A82" s="296">
        <v>18</v>
      </c>
      <c r="B82" s="297" t="s">
        <v>421</v>
      </c>
      <c r="C82" s="479">
        <v>150000</v>
      </c>
      <c r="D82" s="325"/>
      <c r="E82" s="311"/>
      <c r="F82" s="312" t="s">
        <v>422</v>
      </c>
      <c r="G82" s="301" t="s">
        <v>370</v>
      </c>
      <c r="H82" s="469"/>
      <c r="I82" s="432"/>
      <c r="J82" s="432"/>
      <c r="K82" s="492">
        <v>150000</v>
      </c>
      <c r="L82" s="432"/>
      <c r="M82" s="328"/>
      <c r="N82" s="325"/>
      <c r="O82" s="299"/>
      <c r="P82" s="299"/>
      <c r="Q82" s="299"/>
    </row>
    <row r="83" spans="1:17" ht="26.25" customHeight="1" x14ac:dyDescent="0.55000000000000004">
      <c r="A83" s="296">
        <v>19</v>
      </c>
      <c r="B83" s="297" t="s">
        <v>423</v>
      </c>
      <c r="C83" s="479">
        <v>300000</v>
      </c>
      <c r="D83" s="325"/>
      <c r="E83" s="311"/>
      <c r="F83" s="305" t="s">
        <v>390</v>
      </c>
      <c r="G83" s="301" t="s">
        <v>370</v>
      </c>
      <c r="H83" s="469"/>
      <c r="I83" s="432"/>
      <c r="J83" s="432"/>
      <c r="K83" s="492">
        <v>300000</v>
      </c>
      <c r="L83" s="432"/>
      <c r="M83" s="328"/>
      <c r="N83" s="325"/>
      <c r="O83" s="299"/>
      <c r="P83" s="299"/>
      <c r="Q83" s="299"/>
    </row>
    <row r="84" spans="1:17" x14ac:dyDescent="0.55000000000000004">
      <c r="A84" s="296">
        <v>20</v>
      </c>
      <c r="B84" s="308" t="s">
        <v>424</v>
      </c>
      <c r="C84" s="484">
        <v>500000</v>
      </c>
      <c r="D84" s="325"/>
      <c r="E84" s="328"/>
      <c r="F84" s="305" t="s">
        <v>390</v>
      </c>
      <c r="G84" s="309" t="s">
        <v>425</v>
      </c>
      <c r="H84" s="470"/>
      <c r="I84" s="432"/>
      <c r="J84" s="432"/>
      <c r="K84" s="493">
        <v>500000</v>
      </c>
      <c r="L84" s="432"/>
      <c r="M84" s="328" t="s">
        <v>569</v>
      </c>
      <c r="N84" s="325"/>
      <c r="O84" s="299"/>
      <c r="P84" s="299"/>
      <c r="Q84" s="299"/>
    </row>
    <row r="85" spans="1:17" ht="22.5" customHeight="1" x14ac:dyDescent="0.55000000000000004">
      <c r="A85" s="296">
        <v>21</v>
      </c>
      <c r="B85" s="308" t="s">
        <v>426</v>
      </c>
      <c r="C85" s="485">
        <v>150000</v>
      </c>
      <c r="D85" s="326"/>
      <c r="E85" s="328"/>
      <c r="F85" s="305" t="s">
        <v>372</v>
      </c>
      <c r="G85" s="309" t="s">
        <v>427</v>
      </c>
      <c r="H85" s="468"/>
      <c r="I85" s="432"/>
      <c r="J85" s="432"/>
      <c r="K85" s="494">
        <v>150000</v>
      </c>
      <c r="L85" s="432"/>
      <c r="M85" s="328"/>
      <c r="N85" s="325"/>
      <c r="O85" s="299"/>
      <c r="P85" s="299"/>
      <c r="Q85" s="299"/>
    </row>
    <row r="86" spans="1:17" x14ac:dyDescent="0.55000000000000004">
      <c r="A86" s="296">
        <v>22</v>
      </c>
      <c r="B86" s="308" t="s">
        <v>428</v>
      </c>
      <c r="C86" s="484">
        <v>500000</v>
      </c>
      <c r="D86" s="326"/>
      <c r="E86" s="328"/>
      <c r="F86" s="305" t="s">
        <v>366</v>
      </c>
      <c r="G86" s="301" t="s">
        <v>429</v>
      </c>
      <c r="H86" s="468"/>
      <c r="I86" s="432"/>
      <c r="J86" s="432"/>
      <c r="K86" s="493">
        <v>500000</v>
      </c>
      <c r="L86" s="432"/>
      <c r="M86" s="328"/>
      <c r="N86" s="325"/>
      <c r="O86" s="299"/>
      <c r="P86" s="299"/>
      <c r="Q86" s="299"/>
    </row>
    <row r="87" spans="1:17" x14ac:dyDescent="0.55000000000000004">
      <c r="A87" s="296">
        <v>23</v>
      </c>
      <c r="B87" s="308" t="s">
        <v>430</v>
      </c>
      <c r="C87" s="484">
        <v>800000</v>
      </c>
      <c r="D87" s="326"/>
      <c r="E87" s="328"/>
      <c r="F87" s="305" t="s">
        <v>390</v>
      </c>
      <c r="G87" s="309" t="s">
        <v>431</v>
      </c>
      <c r="H87" s="468">
        <v>385000</v>
      </c>
      <c r="I87" s="432">
        <v>385000</v>
      </c>
      <c r="J87" s="432"/>
      <c r="K87" s="432">
        <v>800000</v>
      </c>
      <c r="L87" s="432"/>
      <c r="M87" s="328"/>
      <c r="N87" s="325"/>
      <c r="O87" s="299"/>
      <c r="P87" s="299"/>
      <c r="Q87" s="299"/>
    </row>
    <row r="88" spans="1:17" ht="26.25" customHeight="1" x14ac:dyDescent="0.55000000000000004">
      <c r="A88" s="296">
        <v>24</v>
      </c>
      <c r="B88" s="308" t="s">
        <v>432</v>
      </c>
      <c r="C88" s="480">
        <f>10116193.77-2290000-800000</f>
        <v>7026193.7699999996</v>
      </c>
      <c r="D88" s="329"/>
      <c r="E88" s="311"/>
      <c r="F88" s="312" t="s">
        <v>433</v>
      </c>
      <c r="G88" s="301" t="s">
        <v>434</v>
      </c>
      <c r="H88" s="471"/>
      <c r="I88" s="432"/>
      <c r="J88" s="432"/>
      <c r="K88" s="432">
        <f>SUM(C88)</f>
        <v>7026193.7699999996</v>
      </c>
      <c r="L88" s="432"/>
      <c r="M88" s="328"/>
      <c r="N88" s="325"/>
      <c r="O88" s="299"/>
      <c r="P88" s="299"/>
      <c r="Q88" s="299"/>
    </row>
    <row r="89" spans="1:17" x14ac:dyDescent="0.55000000000000004">
      <c r="A89" s="296"/>
      <c r="B89" s="297"/>
      <c r="C89" s="486">
        <f>SUM(C48:C88)</f>
        <v>28976193.77</v>
      </c>
      <c r="D89" s="340" t="s">
        <v>435</v>
      </c>
      <c r="E89" s="342"/>
      <c r="F89" s="331"/>
      <c r="G89" s="332"/>
      <c r="H89" s="472">
        <f>SUM(H48:H88)</f>
        <v>3627074</v>
      </c>
      <c r="I89" s="472">
        <f>SUM(I48:I88)</f>
        <v>2409800</v>
      </c>
      <c r="J89" s="472"/>
      <c r="K89" s="472">
        <f>SUM(K48:K88)</f>
        <v>28976193.77</v>
      </c>
      <c r="L89" s="432"/>
      <c r="M89" s="328"/>
      <c r="N89" s="325"/>
      <c r="O89" s="299"/>
      <c r="P89" s="299"/>
      <c r="Q89" s="299"/>
    </row>
    <row r="90" spans="1:17" x14ac:dyDescent="0.55000000000000004">
      <c r="B90" s="437" t="s">
        <v>575</v>
      </c>
      <c r="C90" s="487">
        <f t="shared" ref="C90:I90" si="1">SUM(C45+C89)</f>
        <v>43853193.769999996</v>
      </c>
      <c r="D90" s="487" t="e">
        <f t="shared" si="1"/>
        <v>#VALUE!</v>
      </c>
      <c r="E90" s="487">
        <f t="shared" si="1"/>
        <v>0</v>
      </c>
      <c r="F90" s="487">
        <f t="shared" si="1"/>
        <v>0</v>
      </c>
      <c r="G90" s="487">
        <f t="shared" si="1"/>
        <v>0</v>
      </c>
      <c r="H90" s="487">
        <f t="shared" si="1"/>
        <v>22533954</v>
      </c>
      <c r="I90" s="487">
        <f t="shared" si="1"/>
        <v>16234120</v>
      </c>
      <c r="J90" s="487"/>
      <c r="K90" s="487">
        <f>SUM(K45+K89)</f>
        <v>46278773.769999996</v>
      </c>
    </row>
    <row r="95" spans="1:17" x14ac:dyDescent="0.55000000000000004">
      <c r="B95" s="310" t="s">
        <v>570</v>
      </c>
    </row>
    <row r="96" spans="1:17" x14ac:dyDescent="0.55000000000000004">
      <c r="B96" s="310" t="s">
        <v>571</v>
      </c>
    </row>
    <row r="97" spans="2:3" x14ac:dyDescent="0.55000000000000004">
      <c r="B97" s="310" t="s">
        <v>572</v>
      </c>
    </row>
    <row r="99" spans="2:3" ht="30.75" x14ac:dyDescent="0.55000000000000004">
      <c r="B99" s="497" t="s">
        <v>618</v>
      </c>
    </row>
    <row r="100" spans="2:3" x14ac:dyDescent="0.55000000000000004">
      <c r="B100" s="310" t="s">
        <v>586</v>
      </c>
      <c r="C100" s="489">
        <v>117700</v>
      </c>
    </row>
    <row r="101" spans="2:3" x14ac:dyDescent="0.55000000000000004">
      <c r="B101" s="310" t="s">
        <v>592</v>
      </c>
      <c r="C101" s="489">
        <v>75800</v>
      </c>
    </row>
    <row r="102" spans="2:3" x14ac:dyDescent="0.55000000000000004">
      <c r="B102" s="310" t="s">
        <v>611</v>
      </c>
      <c r="C102" s="489">
        <v>68000</v>
      </c>
    </row>
    <row r="103" spans="2:3" x14ac:dyDescent="0.55000000000000004">
      <c r="B103" s="310" t="s">
        <v>617</v>
      </c>
      <c r="C103" s="489">
        <v>60000</v>
      </c>
    </row>
    <row r="104" spans="2:3" x14ac:dyDescent="0.55000000000000004">
      <c r="C104" s="489"/>
    </row>
    <row r="105" spans="2:3" x14ac:dyDescent="0.55000000000000004">
      <c r="C105" s="489"/>
    </row>
    <row r="106" spans="2:3" x14ac:dyDescent="0.55000000000000004">
      <c r="B106" s="310" t="s">
        <v>615</v>
      </c>
      <c r="C106" s="450">
        <v>1358000</v>
      </c>
    </row>
    <row r="107" spans="2:3" x14ac:dyDescent="0.55000000000000004">
      <c r="C107" s="489"/>
    </row>
    <row r="108" spans="2:3" x14ac:dyDescent="0.55000000000000004">
      <c r="C108" s="489"/>
    </row>
    <row r="109" spans="2:3" x14ac:dyDescent="0.55000000000000004">
      <c r="C109" s="489"/>
    </row>
    <row r="110" spans="2:3" x14ac:dyDescent="0.55000000000000004">
      <c r="C110" s="489"/>
    </row>
    <row r="111" spans="2:3" x14ac:dyDescent="0.55000000000000004">
      <c r="C111" s="489"/>
    </row>
    <row r="112" spans="2:3" x14ac:dyDescent="0.55000000000000004">
      <c r="C112" s="489"/>
    </row>
    <row r="113" spans="3:3" x14ac:dyDescent="0.55000000000000004">
      <c r="C113" s="489"/>
    </row>
    <row r="114" spans="3:3" x14ac:dyDescent="0.55000000000000004">
      <c r="C114" s="489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5" sqref="C5:C7"/>
    </sheetView>
  </sheetViews>
  <sheetFormatPr defaultColWidth="10.28515625" defaultRowHeight="23.25" x14ac:dyDescent="0.55000000000000004"/>
  <cols>
    <col min="1" max="1" width="5.85546875" style="333" bestFit="1" customWidth="1"/>
    <col min="2" max="2" width="52.85546875" style="310" customWidth="1"/>
    <col min="3" max="3" width="20.7109375" style="285" customWidth="1"/>
    <col min="4" max="4" width="23.5703125" style="285" bestFit="1" customWidth="1"/>
    <col min="5" max="5" width="20.7109375" style="285" customWidth="1"/>
    <col min="6" max="6" width="21.7109375" style="338" bestFit="1" customWidth="1"/>
    <col min="7" max="7" width="44.85546875" style="339" customWidth="1"/>
    <col min="8" max="8" width="22.5703125" style="285" bestFit="1" customWidth="1"/>
    <col min="9" max="16384" width="10.28515625" style="285"/>
  </cols>
  <sheetData>
    <row r="1" spans="1:7" x14ac:dyDescent="0.55000000000000004">
      <c r="A1" s="716" t="s">
        <v>357</v>
      </c>
      <c r="B1" s="716"/>
      <c r="C1" s="716"/>
      <c r="D1" s="716"/>
      <c r="E1" s="716"/>
      <c r="F1" s="716"/>
      <c r="G1" s="716"/>
    </row>
    <row r="2" spans="1:7" x14ac:dyDescent="0.55000000000000004">
      <c r="A2" s="717" t="s">
        <v>358</v>
      </c>
      <c r="B2" s="717"/>
      <c r="C2" s="717"/>
      <c r="D2" s="717"/>
      <c r="E2" s="717"/>
      <c r="F2" s="717"/>
      <c r="G2" s="717"/>
    </row>
    <row r="3" spans="1:7" s="288" customFormat="1" x14ac:dyDescent="0.2">
      <c r="A3" s="286" t="s">
        <v>0</v>
      </c>
      <c r="B3" s="286" t="s">
        <v>1</v>
      </c>
      <c r="C3" s="718" t="s">
        <v>359</v>
      </c>
      <c r="D3" s="719"/>
      <c r="E3" s="720"/>
      <c r="F3" s="286" t="s">
        <v>360</v>
      </c>
      <c r="G3" s="287" t="s">
        <v>361</v>
      </c>
    </row>
    <row r="4" spans="1:7" s="295" customFormat="1" x14ac:dyDescent="0.55000000000000004">
      <c r="A4" s="289"/>
      <c r="B4" s="290" t="s">
        <v>362</v>
      </c>
      <c r="C4" s="291" t="s">
        <v>363</v>
      </c>
      <c r="D4" s="291" t="s">
        <v>364</v>
      </c>
      <c r="E4" s="292"/>
      <c r="F4" s="293"/>
      <c r="G4" s="294"/>
    </row>
    <row r="5" spans="1:7" x14ac:dyDescent="0.55000000000000004">
      <c r="A5" s="296">
        <v>1</v>
      </c>
      <c r="B5" s="297" t="s">
        <v>365</v>
      </c>
      <c r="C5" s="298">
        <v>1287000</v>
      </c>
      <c r="D5" s="298" t="s">
        <v>88</v>
      </c>
      <c r="E5" s="299"/>
      <c r="F5" s="300" t="s">
        <v>366</v>
      </c>
      <c r="G5" s="301" t="s">
        <v>367</v>
      </c>
    </row>
    <row r="6" spans="1:7" ht="46.5" x14ac:dyDescent="0.55000000000000004">
      <c r="A6" s="296">
        <v>2</v>
      </c>
      <c r="B6" s="297" t="s">
        <v>368</v>
      </c>
      <c r="C6" s="298">
        <v>820000</v>
      </c>
      <c r="D6" s="298" t="s">
        <v>88</v>
      </c>
      <c r="E6" s="299"/>
      <c r="F6" s="302" t="s">
        <v>369</v>
      </c>
      <c r="G6" s="301" t="s">
        <v>370</v>
      </c>
    </row>
    <row r="7" spans="1:7" ht="46.5" x14ac:dyDescent="0.55000000000000004">
      <c r="A7" s="296">
        <v>3</v>
      </c>
      <c r="B7" s="297" t="s">
        <v>371</v>
      </c>
      <c r="C7" s="298">
        <v>460000</v>
      </c>
      <c r="D7" s="298" t="s">
        <v>88</v>
      </c>
      <c r="E7" s="299"/>
      <c r="F7" s="300" t="s">
        <v>372</v>
      </c>
      <c r="G7" s="301" t="s">
        <v>373</v>
      </c>
    </row>
    <row r="8" spans="1:7" ht="46.5" x14ac:dyDescent="0.55000000000000004">
      <c r="A8" s="296">
        <v>4</v>
      </c>
      <c r="B8" s="297" t="s">
        <v>374</v>
      </c>
      <c r="C8" s="298">
        <v>500000</v>
      </c>
      <c r="D8" s="298" t="s">
        <v>88</v>
      </c>
      <c r="E8" s="299"/>
      <c r="F8" s="302" t="s">
        <v>375</v>
      </c>
      <c r="G8" s="301" t="s">
        <v>370</v>
      </c>
    </row>
    <row r="9" spans="1:7" x14ac:dyDescent="0.55000000000000004">
      <c r="A9" s="296">
        <v>5</v>
      </c>
      <c r="B9" s="303" t="s">
        <v>376</v>
      </c>
      <c r="C9" s="304">
        <v>600000</v>
      </c>
      <c r="D9" s="298" t="s">
        <v>88</v>
      </c>
      <c r="E9" s="299"/>
      <c r="F9" s="302" t="s">
        <v>369</v>
      </c>
      <c r="G9" s="301" t="s">
        <v>377</v>
      </c>
    </row>
    <row r="10" spans="1:7" x14ac:dyDescent="0.55000000000000004">
      <c r="A10" s="296">
        <v>6</v>
      </c>
      <c r="B10" s="303" t="s">
        <v>378</v>
      </c>
      <c r="C10" s="304">
        <v>1000000</v>
      </c>
      <c r="D10" s="298" t="s">
        <v>88</v>
      </c>
      <c r="E10" s="299"/>
      <c r="F10" s="305" t="s">
        <v>379</v>
      </c>
      <c r="G10" s="301" t="s">
        <v>380</v>
      </c>
    </row>
    <row r="11" spans="1:7" x14ac:dyDescent="0.55000000000000004">
      <c r="A11" s="296">
        <v>7</v>
      </c>
      <c r="B11" s="303" t="s">
        <v>381</v>
      </c>
      <c r="C11" s="304">
        <v>500000</v>
      </c>
      <c r="D11" s="298" t="s">
        <v>88</v>
      </c>
      <c r="E11" s="299"/>
      <c r="F11" s="305" t="s">
        <v>379</v>
      </c>
      <c r="G11" s="301" t="s">
        <v>382</v>
      </c>
    </row>
    <row r="12" spans="1:7" x14ac:dyDescent="0.55000000000000004">
      <c r="A12" s="296">
        <v>8</v>
      </c>
      <c r="B12" s="297" t="s">
        <v>383</v>
      </c>
      <c r="C12" s="304">
        <v>1500000</v>
      </c>
      <c r="D12" s="298" t="s">
        <v>88</v>
      </c>
      <c r="E12" s="299"/>
      <c r="F12" s="305" t="s">
        <v>384</v>
      </c>
      <c r="G12" s="301" t="s">
        <v>385</v>
      </c>
    </row>
    <row r="13" spans="1:7" x14ac:dyDescent="0.55000000000000004">
      <c r="A13" s="296">
        <v>9</v>
      </c>
      <c r="B13" s="297" t="s">
        <v>386</v>
      </c>
      <c r="C13" s="298">
        <v>350000</v>
      </c>
      <c r="D13" s="298" t="s">
        <v>88</v>
      </c>
      <c r="F13" s="302" t="s">
        <v>387</v>
      </c>
      <c r="G13" s="301" t="s">
        <v>388</v>
      </c>
    </row>
    <row r="14" spans="1:7" s="310" customFormat="1" ht="46.5" x14ac:dyDescent="0.55000000000000004">
      <c r="A14" s="296">
        <v>10</v>
      </c>
      <c r="B14" s="297" t="s">
        <v>389</v>
      </c>
      <c r="C14" s="306">
        <v>1760000</v>
      </c>
      <c r="D14" s="298" t="s">
        <v>88</v>
      </c>
      <c r="E14" s="307"/>
      <c r="F14" s="308" t="s">
        <v>390</v>
      </c>
      <c r="G14" s="309" t="s">
        <v>391</v>
      </c>
    </row>
    <row r="15" spans="1:7" x14ac:dyDescent="0.55000000000000004">
      <c r="A15" s="296">
        <v>11</v>
      </c>
      <c r="B15" s="297" t="s">
        <v>392</v>
      </c>
      <c r="C15" s="311">
        <v>5000000</v>
      </c>
      <c r="D15" s="298" t="s">
        <v>88</v>
      </c>
      <c r="E15" s="299"/>
      <c r="F15" s="312" t="s">
        <v>369</v>
      </c>
      <c r="G15" s="301" t="s">
        <v>388</v>
      </c>
    </row>
    <row r="16" spans="1:7" x14ac:dyDescent="0.55000000000000004">
      <c r="A16" s="296">
        <v>12</v>
      </c>
      <c r="B16" s="297" t="s">
        <v>393</v>
      </c>
      <c r="C16" s="311">
        <v>300000</v>
      </c>
      <c r="D16" s="298" t="s">
        <v>88</v>
      </c>
      <c r="E16" s="299"/>
      <c r="F16" s="300" t="s">
        <v>372</v>
      </c>
      <c r="G16" s="301" t="s">
        <v>388</v>
      </c>
    </row>
    <row r="17" spans="1:8" s="310" customFormat="1" ht="46.5" x14ac:dyDescent="0.2">
      <c r="A17" s="296">
        <v>13</v>
      </c>
      <c r="B17" s="297" t="s">
        <v>394</v>
      </c>
      <c r="C17" s="307">
        <v>800000</v>
      </c>
      <c r="D17" s="313" t="s">
        <v>88</v>
      </c>
      <c r="F17" s="303" t="s">
        <v>375</v>
      </c>
      <c r="G17" s="309" t="s">
        <v>395</v>
      </c>
    </row>
    <row r="18" spans="1:8" x14ac:dyDescent="0.55000000000000004">
      <c r="A18" s="296"/>
      <c r="B18" s="340" t="s">
        <v>396</v>
      </c>
      <c r="C18" s="341">
        <f>SUM(C5:C17)</f>
        <v>14877000</v>
      </c>
      <c r="D18" s="298"/>
      <c r="E18" s="299"/>
      <c r="F18" s="300"/>
      <c r="G18" s="301"/>
    </row>
    <row r="19" spans="1:8" s="321" customFormat="1" x14ac:dyDescent="0.55000000000000004">
      <c r="A19" s="314"/>
      <c r="B19" s="315" t="s">
        <v>397</v>
      </c>
      <c r="C19" s="316"/>
      <c r="D19" s="317"/>
      <c r="E19" s="318" t="s">
        <v>398</v>
      </c>
      <c r="F19" s="319"/>
      <c r="G19" s="320"/>
    </row>
    <row r="20" spans="1:8" x14ac:dyDescent="0.55000000000000004">
      <c r="A20" s="296">
        <v>14</v>
      </c>
      <c r="B20" s="721" t="s">
        <v>399</v>
      </c>
      <c r="C20" s="722"/>
      <c r="D20" s="723"/>
      <c r="E20" s="299"/>
      <c r="F20" s="322"/>
      <c r="G20" s="301"/>
    </row>
    <row r="21" spans="1:8" ht="69.75" x14ac:dyDescent="0.55000000000000004">
      <c r="A21" s="296">
        <v>14</v>
      </c>
      <c r="B21" s="297" t="s">
        <v>400</v>
      </c>
      <c r="C21" s="299"/>
      <c r="D21" s="299"/>
      <c r="E21" s="323">
        <v>6000000</v>
      </c>
      <c r="F21" s="324" t="s">
        <v>399</v>
      </c>
      <c r="G21" s="301" t="s">
        <v>401</v>
      </c>
    </row>
    <row r="22" spans="1:8" ht="69.75" x14ac:dyDescent="0.55000000000000004">
      <c r="A22" s="296">
        <v>14</v>
      </c>
      <c r="B22" s="303" t="s">
        <v>402</v>
      </c>
      <c r="C22" s="325"/>
      <c r="D22" s="325"/>
      <c r="E22" s="311">
        <v>1000000</v>
      </c>
      <c r="F22" s="324" t="s">
        <v>399</v>
      </c>
      <c r="G22" s="301" t="s">
        <v>401</v>
      </c>
    </row>
    <row r="23" spans="1:8" ht="69.75" x14ac:dyDescent="0.55000000000000004">
      <c r="A23" s="296">
        <v>14</v>
      </c>
      <c r="B23" s="297" t="s">
        <v>403</v>
      </c>
      <c r="C23" s="325"/>
      <c r="D23" s="325"/>
      <c r="E23" s="311">
        <v>900000</v>
      </c>
      <c r="F23" s="324" t="s">
        <v>399</v>
      </c>
      <c r="G23" s="301" t="s">
        <v>401</v>
      </c>
    </row>
    <row r="24" spans="1:8" ht="69.75" x14ac:dyDescent="0.55000000000000004">
      <c r="A24" s="296">
        <v>14</v>
      </c>
      <c r="B24" s="297" t="s">
        <v>404</v>
      </c>
      <c r="C24" s="325"/>
      <c r="D24" s="325"/>
      <c r="E24" s="311">
        <f>150000</f>
        <v>150000</v>
      </c>
      <c r="F24" s="324" t="s">
        <v>399</v>
      </c>
      <c r="G24" s="301" t="s">
        <v>401</v>
      </c>
    </row>
    <row r="25" spans="1:8" ht="69.75" x14ac:dyDescent="0.55000000000000004">
      <c r="A25" s="296">
        <v>14</v>
      </c>
      <c r="B25" s="297" t="s">
        <v>405</v>
      </c>
      <c r="C25" s="325"/>
      <c r="D25" s="325"/>
      <c r="E25" s="311">
        <v>450000</v>
      </c>
      <c r="F25" s="324" t="s">
        <v>399</v>
      </c>
      <c r="G25" s="301" t="s">
        <v>401</v>
      </c>
    </row>
    <row r="26" spans="1:8" ht="69.75" x14ac:dyDescent="0.55000000000000004">
      <c r="A26" s="296">
        <v>14</v>
      </c>
      <c r="B26" s="308" t="s">
        <v>406</v>
      </c>
      <c r="C26" s="325"/>
      <c r="D26" s="325"/>
      <c r="E26" s="311">
        <v>1000000</v>
      </c>
      <c r="F26" s="324" t="s">
        <v>399</v>
      </c>
      <c r="G26" s="301" t="s">
        <v>401</v>
      </c>
    </row>
    <row r="27" spans="1:8" ht="69.75" x14ac:dyDescent="0.55000000000000004">
      <c r="A27" s="296">
        <v>14</v>
      </c>
      <c r="B27" s="308" t="s">
        <v>407</v>
      </c>
      <c r="C27" s="326"/>
      <c r="D27" s="326"/>
      <c r="E27" s="311">
        <v>1000000</v>
      </c>
      <c r="F27" s="324" t="s">
        <v>399</v>
      </c>
      <c r="G27" s="301" t="s">
        <v>401</v>
      </c>
    </row>
    <row r="28" spans="1:8" ht="69.75" x14ac:dyDescent="0.55000000000000004">
      <c r="A28" s="296">
        <v>14</v>
      </c>
      <c r="B28" s="308" t="s">
        <v>408</v>
      </c>
      <c r="C28" s="299"/>
      <c r="D28" s="299"/>
      <c r="E28" s="311">
        <v>400000</v>
      </c>
      <c r="F28" s="324" t="s">
        <v>399</v>
      </c>
      <c r="G28" s="301" t="s">
        <v>401</v>
      </c>
    </row>
    <row r="29" spans="1:8" x14ac:dyDescent="0.55000000000000004">
      <c r="A29" s="296">
        <v>15</v>
      </c>
      <c r="B29" s="297" t="s">
        <v>409</v>
      </c>
      <c r="C29" s="299"/>
      <c r="D29" s="299"/>
      <c r="E29" s="311">
        <v>1950000</v>
      </c>
      <c r="F29" s="312" t="s">
        <v>369</v>
      </c>
      <c r="G29" s="301" t="s">
        <v>388</v>
      </c>
      <c r="H29" s="285" t="s">
        <v>410</v>
      </c>
    </row>
    <row r="30" spans="1:8" s="310" customFormat="1" ht="46.5" x14ac:dyDescent="0.55000000000000004">
      <c r="A30" s="296">
        <v>16</v>
      </c>
      <c r="B30" s="297" t="s">
        <v>411</v>
      </c>
      <c r="C30" s="306"/>
      <c r="D30" s="298"/>
      <c r="E30" s="307">
        <v>4500000</v>
      </c>
      <c r="F30" s="308" t="s">
        <v>390</v>
      </c>
      <c r="G30" s="309" t="s">
        <v>391</v>
      </c>
    </row>
    <row r="31" spans="1:8" ht="25.5" x14ac:dyDescent="0.7">
      <c r="A31" s="296">
        <v>17</v>
      </c>
      <c r="B31" s="308" t="s">
        <v>412</v>
      </c>
      <c r="C31" s="327"/>
      <c r="D31" s="327"/>
      <c r="E31" s="311">
        <v>100000</v>
      </c>
      <c r="F31" s="312" t="s">
        <v>413</v>
      </c>
      <c r="G31" s="301" t="s">
        <v>388</v>
      </c>
    </row>
    <row r="32" spans="1:8" x14ac:dyDescent="0.55000000000000004">
      <c r="A32" s="296">
        <v>18</v>
      </c>
      <c r="B32" s="303" t="s">
        <v>414</v>
      </c>
      <c r="C32" s="325"/>
      <c r="D32" s="325"/>
      <c r="E32" s="311">
        <v>500000</v>
      </c>
      <c r="F32" s="312" t="s">
        <v>415</v>
      </c>
      <c r="G32" s="301" t="s">
        <v>388</v>
      </c>
    </row>
    <row r="33" spans="1:7" x14ac:dyDescent="0.55000000000000004">
      <c r="A33" s="296">
        <v>19</v>
      </c>
      <c r="B33" s="303" t="s">
        <v>416</v>
      </c>
      <c r="C33" s="325"/>
      <c r="D33" s="325"/>
      <c r="E33" s="311">
        <v>1200000</v>
      </c>
      <c r="F33" s="305" t="s">
        <v>390</v>
      </c>
      <c r="G33" s="301" t="s">
        <v>388</v>
      </c>
    </row>
    <row r="34" spans="1:7" ht="46.5" x14ac:dyDescent="0.55000000000000004">
      <c r="A34" s="296">
        <v>20</v>
      </c>
      <c r="B34" s="308" t="s">
        <v>417</v>
      </c>
      <c r="C34" s="325"/>
      <c r="D34" s="325"/>
      <c r="E34" s="311">
        <v>300000</v>
      </c>
      <c r="F34" s="305" t="s">
        <v>390</v>
      </c>
      <c r="G34" s="301" t="s">
        <v>370</v>
      </c>
    </row>
    <row r="35" spans="1:7" x14ac:dyDescent="0.55000000000000004">
      <c r="A35" s="296">
        <v>22</v>
      </c>
      <c r="B35" s="308" t="s">
        <v>418</v>
      </c>
      <c r="C35" s="325"/>
      <c r="D35" s="325"/>
      <c r="E35" s="311">
        <v>100000</v>
      </c>
      <c r="F35" s="312" t="s">
        <v>419</v>
      </c>
      <c r="G35" s="301" t="s">
        <v>420</v>
      </c>
    </row>
    <row r="36" spans="1:7" ht="46.5" x14ac:dyDescent="0.55000000000000004">
      <c r="A36" s="296">
        <v>23</v>
      </c>
      <c r="B36" s="297" t="s">
        <v>421</v>
      </c>
      <c r="C36" s="325"/>
      <c r="D36" s="325"/>
      <c r="E36" s="311">
        <v>150000</v>
      </c>
      <c r="F36" s="312" t="s">
        <v>422</v>
      </c>
      <c r="G36" s="301" t="s">
        <v>370</v>
      </c>
    </row>
    <row r="37" spans="1:7" ht="46.5" x14ac:dyDescent="0.55000000000000004">
      <c r="A37" s="296">
        <v>24</v>
      </c>
      <c r="B37" s="297" t="s">
        <v>423</v>
      </c>
      <c r="C37" s="325"/>
      <c r="D37" s="325"/>
      <c r="E37" s="311">
        <v>300000</v>
      </c>
      <c r="F37" s="305" t="s">
        <v>390</v>
      </c>
      <c r="G37" s="301" t="s">
        <v>370</v>
      </c>
    </row>
    <row r="38" spans="1:7" x14ac:dyDescent="0.55000000000000004">
      <c r="A38" s="296">
        <v>25</v>
      </c>
      <c r="B38" s="308" t="s">
        <v>424</v>
      </c>
      <c r="C38" s="325"/>
      <c r="D38" s="325"/>
      <c r="E38" s="328">
        <v>500000</v>
      </c>
      <c r="F38" s="305" t="s">
        <v>390</v>
      </c>
      <c r="G38" s="309" t="s">
        <v>425</v>
      </c>
    </row>
    <row r="39" spans="1:7" ht="46.5" x14ac:dyDescent="0.55000000000000004">
      <c r="A39" s="296">
        <v>26</v>
      </c>
      <c r="B39" s="308" t="s">
        <v>426</v>
      </c>
      <c r="C39" s="299"/>
      <c r="D39" s="326"/>
      <c r="E39" s="328">
        <v>150000</v>
      </c>
      <c r="F39" s="305" t="s">
        <v>372</v>
      </c>
      <c r="G39" s="309" t="s">
        <v>427</v>
      </c>
    </row>
    <row r="40" spans="1:7" x14ac:dyDescent="0.55000000000000004">
      <c r="A40" s="296">
        <v>27</v>
      </c>
      <c r="B40" s="308" t="s">
        <v>428</v>
      </c>
      <c r="C40" s="299"/>
      <c r="D40" s="326"/>
      <c r="E40" s="328">
        <v>500000</v>
      </c>
      <c r="F40" s="305" t="s">
        <v>366</v>
      </c>
      <c r="G40" s="301" t="s">
        <v>429</v>
      </c>
    </row>
    <row r="41" spans="1:7" x14ac:dyDescent="0.55000000000000004">
      <c r="A41" s="296">
        <v>28</v>
      </c>
      <c r="B41" s="308" t="s">
        <v>430</v>
      </c>
      <c r="C41" s="299"/>
      <c r="D41" s="326"/>
      <c r="E41" s="328">
        <v>800000</v>
      </c>
      <c r="F41" s="305" t="s">
        <v>390</v>
      </c>
      <c r="G41" s="309" t="s">
        <v>431</v>
      </c>
    </row>
    <row r="42" spans="1:7" ht="46.5" x14ac:dyDescent="0.55000000000000004">
      <c r="A42" s="296">
        <v>29</v>
      </c>
      <c r="B42" s="308" t="s">
        <v>432</v>
      </c>
      <c r="C42" s="329"/>
      <c r="D42" s="329"/>
      <c r="E42" s="311">
        <f>10116193.77-2290000-800000</f>
        <v>7026193.7699999996</v>
      </c>
      <c r="F42" s="312" t="s">
        <v>433</v>
      </c>
      <c r="G42" s="301" t="s">
        <v>434</v>
      </c>
    </row>
    <row r="43" spans="1:7" x14ac:dyDescent="0.55000000000000004">
      <c r="A43" s="296"/>
      <c r="B43" s="297"/>
      <c r="C43" s="330"/>
      <c r="D43" s="340" t="s">
        <v>435</v>
      </c>
      <c r="E43" s="342">
        <f>SUBTOTAL(9,E5:E42)</f>
        <v>28976193.77</v>
      </c>
      <c r="F43" s="331"/>
      <c r="G43" s="332"/>
    </row>
    <row r="44" spans="1:7" x14ac:dyDescent="0.55000000000000004">
      <c r="B44" s="334"/>
      <c r="C44" s="335"/>
      <c r="D44" s="335" t="s">
        <v>436</v>
      </c>
      <c r="E44" s="343">
        <f>SUM(E43+C18)</f>
        <v>43853193.769999996</v>
      </c>
      <c r="F44" s="336"/>
      <c r="G44" s="337"/>
    </row>
  </sheetData>
  <mergeCells count="4">
    <mergeCell ref="A1:G1"/>
    <mergeCell ref="A2:G2"/>
    <mergeCell ref="C3:E3"/>
    <mergeCell ref="B20:D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0"/>
  <sheetViews>
    <sheetView zoomScale="120" zoomScaleNormal="120" workbookViewId="0">
      <selection activeCell="D13" sqref="D11:D13"/>
    </sheetView>
  </sheetViews>
  <sheetFormatPr defaultRowHeight="12.75" x14ac:dyDescent="0.2"/>
  <cols>
    <col min="1" max="1" width="35.140625" customWidth="1"/>
    <col min="2" max="2" width="19.85546875" customWidth="1"/>
    <col min="3" max="3" width="23.42578125" customWidth="1"/>
    <col min="4" max="5" width="21.85546875" customWidth="1"/>
    <col min="6" max="6" width="17.85546875" customWidth="1"/>
  </cols>
  <sheetData>
    <row r="1" spans="1:5" x14ac:dyDescent="0.2">
      <c r="A1" s="728" t="s">
        <v>253</v>
      </c>
      <c r="B1" s="724" t="s">
        <v>355</v>
      </c>
      <c r="C1" s="725"/>
      <c r="D1" s="726" t="s">
        <v>356</v>
      </c>
      <c r="E1" s="727"/>
    </row>
    <row r="2" spans="1:5" x14ac:dyDescent="0.2">
      <c r="A2" s="729"/>
      <c r="B2" s="280" t="s">
        <v>354</v>
      </c>
      <c r="C2" s="281" t="s">
        <v>353</v>
      </c>
      <c r="D2" s="279" t="s">
        <v>354</v>
      </c>
      <c r="E2" s="279" t="s">
        <v>353</v>
      </c>
    </row>
    <row r="3" spans="1:5" x14ac:dyDescent="0.2">
      <c r="A3" s="139" t="s">
        <v>255</v>
      </c>
      <c r="B3" s="282"/>
      <c r="C3" s="156"/>
      <c r="D3" s="282"/>
      <c r="E3" s="146"/>
    </row>
    <row r="4" spans="1:5" ht="15" x14ac:dyDescent="0.35">
      <c r="A4" s="140" t="s">
        <v>86</v>
      </c>
      <c r="B4" s="141">
        <v>1287000</v>
      </c>
      <c r="C4" s="153" t="s">
        <v>85</v>
      </c>
      <c r="D4" s="142"/>
      <c r="E4" s="142"/>
    </row>
    <row r="5" spans="1:5" ht="15" x14ac:dyDescent="0.35">
      <c r="A5" s="140" t="s">
        <v>108</v>
      </c>
      <c r="B5" s="141">
        <v>820000</v>
      </c>
      <c r="C5" s="153" t="s">
        <v>88</v>
      </c>
      <c r="D5" s="142"/>
      <c r="E5" s="142"/>
    </row>
    <row r="6" spans="1:5" ht="15" x14ac:dyDescent="0.35">
      <c r="A6" s="140" t="s">
        <v>109</v>
      </c>
      <c r="B6" s="141">
        <v>460000</v>
      </c>
      <c r="C6" s="153" t="s">
        <v>88</v>
      </c>
      <c r="D6" s="142"/>
      <c r="E6" s="142"/>
    </row>
    <row r="7" spans="1:5" x14ac:dyDescent="0.2">
      <c r="A7" s="140" t="s">
        <v>110</v>
      </c>
      <c r="B7" s="141">
        <v>500000</v>
      </c>
      <c r="C7" s="154" t="s">
        <v>83</v>
      </c>
      <c r="D7" s="142"/>
      <c r="E7" s="142"/>
    </row>
    <row r="8" spans="1:5" ht="15" x14ac:dyDescent="0.35">
      <c r="A8" s="283" t="s">
        <v>111</v>
      </c>
      <c r="B8" s="284">
        <v>500000</v>
      </c>
      <c r="C8" s="153" t="s">
        <v>89</v>
      </c>
      <c r="D8" s="13"/>
      <c r="E8" s="13"/>
    </row>
    <row r="9" spans="1:5" ht="15" x14ac:dyDescent="0.35">
      <c r="A9" s="283" t="s">
        <v>112</v>
      </c>
      <c r="B9" s="284">
        <v>400000</v>
      </c>
      <c r="C9" s="153" t="s">
        <v>89</v>
      </c>
      <c r="D9" s="13"/>
      <c r="E9" s="13"/>
    </row>
    <row r="10" spans="1:5" ht="15" x14ac:dyDescent="0.35">
      <c r="A10" s="144" t="s">
        <v>115</v>
      </c>
      <c r="B10" s="143">
        <v>600000</v>
      </c>
      <c r="C10" s="153" t="s">
        <v>89</v>
      </c>
      <c r="D10" s="13"/>
      <c r="E10" s="13"/>
    </row>
    <row r="11" spans="1:5" ht="15" x14ac:dyDescent="0.35">
      <c r="A11" s="144" t="s">
        <v>116</v>
      </c>
      <c r="B11" s="143">
        <v>500000</v>
      </c>
      <c r="C11" s="153" t="s">
        <v>89</v>
      </c>
      <c r="D11" s="13"/>
      <c r="E11" s="13"/>
    </row>
    <row r="12" spans="1:5" ht="15" x14ac:dyDescent="0.35">
      <c r="A12" s="144" t="s">
        <v>117</v>
      </c>
      <c r="B12" s="143">
        <v>1000000</v>
      </c>
      <c r="C12" s="153" t="s">
        <v>89</v>
      </c>
      <c r="D12" s="13"/>
      <c r="E12" s="13"/>
    </row>
    <row r="13" spans="1:5" ht="15" x14ac:dyDescent="0.35">
      <c r="A13" s="144" t="s">
        <v>215</v>
      </c>
      <c r="B13" s="143">
        <v>500000</v>
      </c>
      <c r="C13" s="153" t="s">
        <v>89</v>
      </c>
      <c r="D13" s="13"/>
      <c r="E13" s="13"/>
    </row>
    <row r="14" spans="1:5" ht="15" x14ac:dyDescent="0.35">
      <c r="A14" s="140" t="s">
        <v>254</v>
      </c>
      <c r="B14" s="143">
        <v>1500000</v>
      </c>
      <c r="C14" s="153" t="s">
        <v>89</v>
      </c>
      <c r="D14" s="13"/>
      <c r="E14" s="13"/>
    </row>
    <row r="15" spans="1:5" ht="15" x14ac:dyDescent="0.35">
      <c r="A15" s="3" t="s">
        <v>216</v>
      </c>
      <c r="B15" s="141">
        <v>350000</v>
      </c>
      <c r="C15" s="153"/>
      <c r="D15" s="145" t="s">
        <v>217</v>
      </c>
      <c r="E15" s="145"/>
    </row>
    <row r="16" spans="1:5" ht="15" x14ac:dyDescent="0.35">
      <c r="A16" s="146" t="s">
        <v>218</v>
      </c>
      <c r="B16" s="141">
        <v>50000</v>
      </c>
      <c r="C16" s="153"/>
      <c r="D16" s="145" t="s">
        <v>217</v>
      </c>
      <c r="E16" s="145"/>
    </row>
    <row r="17" spans="1:6" x14ac:dyDescent="0.2">
      <c r="A17" s="146" t="s">
        <v>219</v>
      </c>
      <c r="B17" s="2"/>
      <c r="C17" s="155"/>
      <c r="D17" s="147">
        <f>1760000*2</f>
        <v>3520000</v>
      </c>
      <c r="E17" s="147"/>
    </row>
    <row r="18" spans="1:6" x14ac:dyDescent="0.2">
      <c r="A18" s="146" t="s">
        <v>220</v>
      </c>
      <c r="B18" s="2"/>
      <c r="C18" s="155"/>
      <c r="D18" s="147">
        <v>5000000</v>
      </c>
      <c r="E18" s="147"/>
    </row>
    <row r="19" spans="1:6" x14ac:dyDescent="0.2">
      <c r="A19" s="146" t="s">
        <v>266</v>
      </c>
      <c r="B19" s="2"/>
      <c r="C19" s="155"/>
      <c r="D19" s="147">
        <v>1950000</v>
      </c>
      <c r="E19" s="147"/>
      <c r="F19" t="s">
        <v>267</v>
      </c>
    </row>
    <row r="20" spans="1:6" x14ac:dyDescent="0.2">
      <c r="A20" s="146" t="s">
        <v>221</v>
      </c>
      <c r="B20" s="2"/>
      <c r="C20" s="155"/>
      <c r="D20" s="152">
        <v>6000000</v>
      </c>
      <c r="E20" s="152"/>
    </row>
    <row r="21" spans="1:6" x14ac:dyDescent="0.2">
      <c r="A21" s="146" t="s">
        <v>222</v>
      </c>
      <c r="B21" s="2"/>
      <c r="C21" s="155"/>
      <c r="D21" s="147">
        <v>150000</v>
      </c>
      <c r="E21" s="147"/>
    </row>
    <row r="22" spans="1:6" ht="15" x14ac:dyDescent="0.35">
      <c r="A22" s="148" t="s">
        <v>223</v>
      </c>
      <c r="B22" s="143"/>
      <c r="C22" s="153"/>
      <c r="D22" s="147">
        <v>100000</v>
      </c>
      <c r="E22" s="147"/>
    </row>
    <row r="23" spans="1:6" x14ac:dyDescent="0.2">
      <c r="A23" s="149" t="s">
        <v>224</v>
      </c>
      <c r="B23" s="2"/>
      <c r="C23" s="155"/>
      <c r="D23" s="147">
        <v>1000000</v>
      </c>
      <c r="E23" s="147"/>
    </row>
    <row r="24" spans="1:6" x14ac:dyDescent="0.2">
      <c r="A24" s="149" t="s">
        <v>225</v>
      </c>
      <c r="B24" s="2"/>
      <c r="C24" s="155"/>
      <c r="D24" s="147">
        <v>200000</v>
      </c>
      <c r="E24" s="147"/>
    </row>
    <row r="25" spans="1:6" x14ac:dyDescent="0.2">
      <c r="A25" s="149" t="s">
        <v>226</v>
      </c>
      <c r="B25" s="2"/>
      <c r="C25" s="155"/>
      <c r="D25" s="147">
        <v>1200000</v>
      </c>
      <c r="E25" s="147"/>
    </row>
    <row r="26" spans="1:6" x14ac:dyDescent="0.2">
      <c r="A26" s="148" t="s">
        <v>227</v>
      </c>
      <c r="B26" s="2"/>
      <c r="C26" s="155"/>
      <c r="D26" s="147">
        <v>300000</v>
      </c>
      <c r="E26" s="147"/>
    </row>
    <row r="27" spans="1:6" x14ac:dyDescent="0.2">
      <c r="A27" s="148" t="s">
        <v>228</v>
      </c>
      <c r="B27" s="2"/>
      <c r="C27" s="155"/>
      <c r="D27" s="147">
        <v>150000</v>
      </c>
      <c r="E27" s="147"/>
    </row>
    <row r="28" spans="1:6" x14ac:dyDescent="0.2">
      <c r="A28" s="148" t="s">
        <v>229</v>
      </c>
      <c r="B28" s="2"/>
      <c r="C28" s="155"/>
      <c r="D28" s="147">
        <v>100000</v>
      </c>
      <c r="E28" s="147"/>
    </row>
    <row r="29" spans="1:6" x14ac:dyDescent="0.2">
      <c r="A29" s="148" t="s">
        <v>230</v>
      </c>
      <c r="B29" s="2"/>
      <c r="C29" s="155"/>
      <c r="D29" s="147">
        <v>100000</v>
      </c>
      <c r="E29" s="147"/>
    </row>
    <row r="30" spans="1:6" x14ac:dyDescent="0.2">
      <c r="A30" s="140" t="s">
        <v>231</v>
      </c>
      <c r="B30" s="2"/>
      <c r="C30" s="156" t="s">
        <v>232</v>
      </c>
      <c r="D30" s="147">
        <v>900000</v>
      </c>
      <c r="E30" s="147"/>
    </row>
    <row r="31" spans="1:6" x14ac:dyDescent="0.2">
      <c r="A31" s="140" t="s">
        <v>233</v>
      </c>
      <c r="B31" s="2"/>
      <c r="C31" s="156"/>
      <c r="D31" s="147">
        <f>150000</f>
        <v>150000</v>
      </c>
      <c r="E31" s="147"/>
    </row>
    <row r="32" spans="1:6" x14ac:dyDescent="0.2">
      <c r="A32" s="140" t="s">
        <v>234</v>
      </c>
      <c r="B32" s="2"/>
      <c r="C32" s="156"/>
      <c r="D32" s="147">
        <v>450000</v>
      </c>
      <c r="E32" s="147"/>
    </row>
    <row r="33" spans="1:5" x14ac:dyDescent="0.2">
      <c r="A33" s="140" t="s">
        <v>235</v>
      </c>
      <c r="B33" s="2"/>
      <c r="C33" s="156"/>
      <c r="D33" s="147">
        <v>500000</v>
      </c>
      <c r="E33" s="147"/>
    </row>
    <row r="34" spans="1:5" x14ac:dyDescent="0.2">
      <c r="A34" s="140" t="s">
        <v>236</v>
      </c>
      <c r="B34" s="2"/>
      <c r="C34" s="156"/>
      <c r="D34" s="147">
        <v>150000</v>
      </c>
      <c r="E34" s="147"/>
    </row>
    <row r="35" spans="1:5" x14ac:dyDescent="0.2">
      <c r="A35" s="140" t="s">
        <v>237</v>
      </c>
      <c r="B35" s="2"/>
      <c r="C35" s="156"/>
      <c r="D35" s="147">
        <v>300000</v>
      </c>
      <c r="E35" s="147"/>
    </row>
    <row r="36" spans="1:5" x14ac:dyDescent="0.2">
      <c r="A36" s="148"/>
      <c r="B36" s="2"/>
      <c r="C36" s="155"/>
      <c r="D36" s="147"/>
      <c r="E36" s="147"/>
    </row>
    <row r="37" spans="1:5" x14ac:dyDescent="0.2">
      <c r="A37" s="150" t="s">
        <v>3</v>
      </c>
      <c r="B37" s="159"/>
      <c r="C37" s="158"/>
      <c r="D37" s="160"/>
      <c r="E37" s="160"/>
    </row>
    <row r="38" spans="1:5" x14ac:dyDescent="0.2">
      <c r="A38" s="148" t="s">
        <v>240</v>
      </c>
      <c r="B38" s="2"/>
      <c r="C38" s="155"/>
      <c r="D38" s="147">
        <v>490000</v>
      </c>
      <c r="E38" s="147"/>
    </row>
    <row r="39" spans="1:5" x14ac:dyDescent="0.2">
      <c r="A39" s="151" t="s">
        <v>242</v>
      </c>
      <c r="B39" s="2"/>
      <c r="C39" s="155"/>
      <c r="D39" s="147">
        <v>450000</v>
      </c>
      <c r="E39" s="147"/>
    </row>
    <row r="40" spans="1:5" x14ac:dyDescent="0.2">
      <c r="A40" s="148" t="s">
        <v>243</v>
      </c>
      <c r="B40" s="2"/>
      <c r="C40" s="155"/>
      <c r="D40" s="147">
        <v>500000</v>
      </c>
      <c r="E40" s="147"/>
    </row>
    <row r="41" spans="1:5" x14ac:dyDescent="0.2">
      <c r="A41" s="148" t="s">
        <v>244</v>
      </c>
      <c r="B41" s="2"/>
      <c r="C41" s="155"/>
      <c r="D41" s="147">
        <v>400000</v>
      </c>
      <c r="E41" s="147"/>
    </row>
    <row r="42" spans="1:5" x14ac:dyDescent="0.2">
      <c r="A42" s="148" t="s">
        <v>245</v>
      </c>
      <c r="B42" s="2"/>
      <c r="C42" s="155"/>
      <c r="D42" s="171">
        <v>500000</v>
      </c>
      <c r="E42" s="171"/>
    </row>
    <row r="43" spans="1:5" x14ac:dyDescent="0.2">
      <c r="A43" s="148" t="s">
        <v>247</v>
      </c>
      <c r="B43" s="2"/>
      <c r="C43" s="155"/>
      <c r="D43" s="147">
        <v>400000</v>
      </c>
      <c r="E43" s="147"/>
    </row>
    <row r="44" spans="1:5" x14ac:dyDescent="0.2">
      <c r="A44" s="148" t="s">
        <v>248</v>
      </c>
      <c r="B44" s="2"/>
      <c r="C44" s="155"/>
      <c r="D44" s="147">
        <v>1000000</v>
      </c>
      <c r="E44" s="147"/>
    </row>
    <row r="45" spans="1:5" x14ac:dyDescent="0.2">
      <c r="A45" s="148" t="s">
        <v>249</v>
      </c>
      <c r="B45" s="2"/>
      <c r="C45" s="155"/>
      <c r="D45" s="147">
        <v>1000000</v>
      </c>
      <c r="E45" s="147"/>
    </row>
    <row r="46" spans="1:5" x14ac:dyDescent="0.2">
      <c r="A46" s="148" t="s">
        <v>250</v>
      </c>
      <c r="B46" s="2"/>
      <c r="C46" s="155"/>
      <c r="D46" s="147">
        <v>400000</v>
      </c>
      <c r="E46" s="147"/>
    </row>
    <row r="47" spans="1:5" x14ac:dyDescent="0.2">
      <c r="A47" s="148" t="s">
        <v>251</v>
      </c>
      <c r="B47" s="2"/>
      <c r="C47" s="155"/>
      <c r="D47" s="147">
        <v>1350000</v>
      </c>
      <c r="E47" s="147"/>
    </row>
    <row r="48" spans="1:5" x14ac:dyDescent="0.2">
      <c r="A48" s="148" t="s">
        <v>252</v>
      </c>
      <c r="B48" s="2"/>
      <c r="C48" s="155"/>
      <c r="D48" s="147">
        <v>493493.77</v>
      </c>
      <c r="E48" s="147"/>
    </row>
    <row r="49" spans="1:7" x14ac:dyDescent="0.2">
      <c r="A49" s="1" t="s">
        <v>268</v>
      </c>
      <c r="B49" s="1"/>
      <c r="C49" s="1"/>
      <c r="D49" s="172">
        <v>1800000</v>
      </c>
      <c r="E49" s="172"/>
      <c r="F49" t="s">
        <v>272</v>
      </c>
    </row>
    <row r="50" spans="1:7" x14ac:dyDescent="0.2">
      <c r="A50" s="1" t="s">
        <v>269</v>
      </c>
      <c r="B50" s="1"/>
      <c r="C50" s="1"/>
      <c r="D50" s="172">
        <v>300000</v>
      </c>
      <c r="E50" s="172"/>
      <c r="F50" t="s">
        <v>272</v>
      </c>
    </row>
    <row r="51" spans="1:7" x14ac:dyDescent="0.2">
      <c r="A51" s="1" t="s">
        <v>270</v>
      </c>
      <c r="B51" s="1"/>
      <c r="C51" s="1"/>
      <c r="D51" s="172">
        <v>300000</v>
      </c>
      <c r="E51" s="172"/>
      <c r="F51" t="s">
        <v>272</v>
      </c>
    </row>
    <row r="52" spans="1:7" x14ac:dyDescent="0.2">
      <c r="A52" s="1" t="s">
        <v>271</v>
      </c>
      <c r="B52" s="1"/>
      <c r="C52" s="1"/>
      <c r="D52" s="172">
        <v>350000</v>
      </c>
      <c r="E52" s="172"/>
      <c r="F52" t="s">
        <v>272</v>
      </c>
    </row>
    <row r="53" spans="1:7" x14ac:dyDescent="0.2">
      <c r="A53" s="148" t="s">
        <v>273</v>
      </c>
      <c r="B53" s="2"/>
      <c r="C53" s="1"/>
      <c r="D53" s="147">
        <v>3282700</v>
      </c>
      <c r="E53" s="147"/>
    </row>
    <row r="54" spans="1:7" x14ac:dyDescent="0.2">
      <c r="A54" s="169"/>
      <c r="B54" s="170"/>
      <c r="D54" s="12"/>
      <c r="E54" s="12"/>
    </row>
    <row r="55" spans="1:7" x14ac:dyDescent="0.2">
      <c r="B55" s="157">
        <f>SUM(B4:B16)</f>
        <v>8467000</v>
      </c>
      <c r="D55" s="157">
        <f>SUM(D17:D54)</f>
        <v>35236193.769999996</v>
      </c>
      <c r="E55" s="157"/>
      <c r="F55" s="12">
        <f>SUM(B55:D55)</f>
        <v>43703193.769999996</v>
      </c>
      <c r="G55" s="15" t="s">
        <v>257</v>
      </c>
    </row>
    <row r="62" spans="1:7" x14ac:dyDescent="0.2">
      <c r="A62" t="s">
        <v>274</v>
      </c>
    </row>
    <row r="63" spans="1:7" x14ac:dyDescent="0.2">
      <c r="A63" s="148" t="s">
        <v>246</v>
      </c>
      <c r="B63" s="2"/>
      <c r="C63" s="155"/>
      <c r="D63" s="152">
        <f>5000*12</f>
        <v>60000</v>
      </c>
      <c r="E63" s="278"/>
    </row>
    <row r="64" spans="1:7" x14ac:dyDescent="0.2">
      <c r="A64" s="148" t="s">
        <v>238</v>
      </c>
      <c r="B64" s="2"/>
      <c r="C64" s="155"/>
      <c r="D64" s="147">
        <v>250000</v>
      </c>
      <c r="E64" s="12"/>
    </row>
    <row r="65" spans="1:5" x14ac:dyDescent="0.2">
      <c r="A65" s="148" t="s">
        <v>239</v>
      </c>
      <c r="B65" s="2"/>
      <c r="C65" s="155"/>
      <c r="D65" s="147">
        <v>500000</v>
      </c>
      <c r="E65" s="12"/>
    </row>
    <row r="66" spans="1:5" x14ac:dyDescent="0.2">
      <c r="A66" s="148" t="s">
        <v>241</v>
      </c>
      <c r="B66" s="2"/>
      <c r="C66" s="155"/>
      <c r="D66" s="147">
        <v>3000000</v>
      </c>
      <c r="E66" s="12"/>
    </row>
    <row r="70" spans="1:5" ht="15" x14ac:dyDescent="0.35">
      <c r="A70" s="283" t="s">
        <v>91</v>
      </c>
      <c r="B70" s="284">
        <v>150000</v>
      </c>
      <c r="C70" s="153" t="s">
        <v>88</v>
      </c>
      <c r="D70" s="142"/>
      <c r="E70" s="142"/>
    </row>
  </sheetData>
  <mergeCells count="3">
    <mergeCell ref="B1:C1"/>
    <mergeCell ref="D1:E1"/>
    <mergeCell ref="A1:A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เงินบำรุง เมย 66</vt:lpstr>
      <vt:lpstr>เทียบแผน+ผล</vt:lpstr>
      <vt:lpstr>Sheet1</vt:lpstr>
      <vt:lpstr>Sheet8</vt:lpstr>
      <vt:lpstr>คุม 43 ล้าน</vt:lpstr>
      <vt:lpstr>แก้ไข43ล้าน กกบ5-66</vt:lpstr>
      <vt:lpstr>43 ล้าน</vt:lpstr>
      <vt:lpstr>แผนดำเนินการปี65-66</vt:lpstr>
      <vt:lpstr>แผนก่อสร้างปี 66</vt:lpstr>
      <vt:lpstr>สิ่งก่อสร้างปี 65 (จ่ายแล้ว)</vt:lpstr>
      <vt:lpstr>สิ่งก่อสสร้างปี 2564</vt:lpstr>
      <vt:lpstr>รายชื่อกกบ.</vt:lpstr>
      <vt:lpstr>'43 ล้าน'!Print_Titles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finance_1</dc:creator>
  <cp:lastModifiedBy>ACER</cp:lastModifiedBy>
  <cp:lastPrinted>2023-07-18T10:43:31Z</cp:lastPrinted>
  <dcterms:created xsi:type="dcterms:W3CDTF">2008-12-18T04:18:51Z</dcterms:created>
  <dcterms:modified xsi:type="dcterms:W3CDTF">2023-10-27T06:43:27Z</dcterms:modified>
</cp:coreProperties>
</file>