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200.5\7.เภสัชกรรม\งานพี่ปุ๊ก\บริหารเวชภัณฑ์\"/>
    </mc:Choice>
  </mc:AlternateContent>
  <xr:revisionPtr revIDLastSave="0" documentId="13_ncr:1_{B9A8B37D-882A-4DF3-A166-BB4C38A023E6}" xr6:coauthVersionLast="47" xr6:coauthVersionMax="47" xr10:uidLastSave="{00000000-0000-0000-0000-000000000000}"/>
  <bookViews>
    <workbookView xWindow="-120" yWindow="-120" windowWidth="24240" windowHeight="13140" activeTab="3" xr2:uid="{4F776460-4EAE-48FC-AC83-502C5C0E415E}"/>
  </bookViews>
  <sheets>
    <sheet name="Top30" sheetId="4" r:id="rId1"/>
    <sheet name="TopNCD" sheetId="5" r:id="rId2"/>
    <sheet name="NCD" sheetId="1" r:id="rId3"/>
    <sheet name="ยาrefer" sheetId="3" r:id="rId4"/>
    <sheet name="TopOther" sheetId="6" r:id="rId5"/>
    <sheet name="Sheet1 (2)" sheetId="7" r:id="rId6"/>
    <sheet name="Sheet2" sheetId="2" r:id="rId7"/>
    <sheet name="ส่งยา" sheetId="8" r:id="rId8"/>
    <sheet name="refillNCD" sheetId="9" r:id="rId9"/>
    <sheet name="workload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14" i="10" l="1"/>
  <c r="K11" i="10"/>
  <c r="G6" i="5"/>
  <c r="L6" i="5" s="1"/>
  <c r="K6" i="5"/>
  <c r="I73" i="5"/>
  <c r="H73" i="5"/>
  <c r="J12" i="7"/>
  <c r="I12" i="7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AP41" i="2"/>
  <c r="AP42" i="2"/>
  <c r="AP43" i="2"/>
  <c r="AP44" i="2"/>
  <c r="AP45" i="2"/>
  <c r="AP46" i="2"/>
  <c r="AP47" i="2"/>
  <c r="AP48" i="2"/>
  <c r="AP49" i="2"/>
  <c r="AP50" i="2"/>
  <c r="AP51" i="2"/>
  <c r="AP52" i="2"/>
  <c r="AP53" i="2"/>
  <c r="AP54" i="2"/>
  <c r="AP55" i="2"/>
  <c r="AP56" i="2"/>
  <c r="AP57" i="2"/>
  <c r="AP58" i="2"/>
  <c r="AP59" i="2"/>
  <c r="AP60" i="2"/>
  <c r="AP61" i="2"/>
  <c r="AP62" i="2"/>
  <c r="AP63" i="2"/>
  <c r="AP64" i="2"/>
  <c r="AP65" i="2"/>
  <c r="AP66" i="2"/>
  <c r="AP67" i="2"/>
  <c r="AP68" i="2"/>
  <c r="AP69" i="2"/>
  <c r="AP70" i="2"/>
  <c r="AP71" i="2"/>
  <c r="AP72" i="2"/>
  <c r="AP73" i="2"/>
  <c r="AP74" i="2"/>
  <c r="AP75" i="2"/>
  <c r="AP76" i="2"/>
  <c r="AP77" i="2"/>
  <c r="AP78" i="2"/>
  <c r="AP79" i="2"/>
  <c r="AP80" i="2"/>
  <c r="AP81" i="2"/>
  <c r="AP82" i="2"/>
  <c r="AP83" i="2"/>
  <c r="AP84" i="2"/>
  <c r="AP85" i="2"/>
  <c r="AP86" i="2"/>
  <c r="AP87" i="2"/>
  <c r="AP88" i="2"/>
  <c r="AP89" i="2"/>
  <c r="AP90" i="2"/>
  <c r="AP91" i="2"/>
  <c r="AP92" i="2"/>
  <c r="AP93" i="2"/>
  <c r="AP94" i="2"/>
  <c r="AP95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AP113" i="2"/>
  <c r="AP114" i="2"/>
  <c r="AP115" i="2"/>
  <c r="AP116" i="2"/>
  <c r="AP117" i="2"/>
  <c r="AP118" i="2"/>
  <c r="AP119" i="2"/>
  <c r="AP120" i="2"/>
  <c r="AP121" i="2"/>
  <c r="AP122" i="2"/>
  <c r="AP123" i="2"/>
  <c r="AP124" i="2"/>
  <c r="AP125" i="2"/>
  <c r="AP126" i="2"/>
  <c r="AP127" i="2"/>
  <c r="AP128" i="2"/>
  <c r="AP129" i="2"/>
  <c r="AP130" i="2"/>
  <c r="AP131" i="2"/>
  <c r="AP132" i="2"/>
  <c r="AP133" i="2"/>
  <c r="AP134" i="2"/>
  <c r="AP135" i="2"/>
  <c r="AP136" i="2"/>
  <c r="AP137" i="2"/>
  <c r="AP138" i="2"/>
  <c r="AP139" i="2"/>
  <c r="AP140" i="2"/>
  <c r="AP141" i="2"/>
  <c r="AP142" i="2"/>
  <c r="AP143" i="2"/>
  <c r="AP144" i="2"/>
  <c r="AP145" i="2"/>
  <c r="AP146" i="2"/>
  <c r="AP147" i="2"/>
  <c r="AP148" i="2"/>
  <c r="AP149" i="2"/>
  <c r="AP150" i="2"/>
  <c r="AP151" i="2"/>
  <c r="AP152" i="2"/>
  <c r="AP153" i="2"/>
  <c r="AP154" i="2"/>
  <c r="AP155" i="2"/>
  <c r="AP156" i="2"/>
  <c r="AP157" i="2"/>
  <c r="AP158" i="2"/>
  <c r="AP159" i="2"/>
  <c r="AP160" i="2"/>
  <c r="AP161" i="2"/>
  <c r="AP162" i="2"/>
  <c r="AP163" i="2"/>
  <c r="AP164" i="2"/>
  <c r="AP165" i="2"/>
  <c r="AP166" i="2"/>
  <c r="AP167" i="2"/>
  <c r="AP168" i="2"/>
  <c r="AP169" i="2"/>
  <c r="AP170" i="2"/>
  <c r="AP171" i="2"/>
  <c r="AP172" i="2"/>
  <c r="AP173" i="2"/>
  <c r="AP174" i="2"/>
  <c r="AP175" i="2"/>
  <c r="AP176" i="2"/>
  <c r="AP177" i="2"/>
  <c r="AP178" i="2"/>
  <c r="AP179" i="2"/>
  <c r="AP180" i="2"/>
  <c r="AP181" i="2"/>
  <c r="AP182" i="2"/>
  <c r="AP183" i="2"/>
  <c r="AP184" i="2"/>
  <c r="AP185" i="2"/>
  <c r="AP186" i="2"/>
  <c r="AP187" i="2"/>
  <c r="AP188" i="2"/>
  <c r="AP189" i="2"/>
  <c r="AP190" i="2"/>
  <c r="AP191" i="2"/>
  <c r="AP192" i="2"/>
  <c r="AP193" i="2"/>
  <c r="AP194" i="2"/>
  <c r="AP195" i="2"/>
  <c r="AP196" i="2"/>
  <c r="AP197" i="2"/>
  <c r="AP198" i="2"/>
  <c r="AP199" i="2"/>
  <c r="AP200" i="2"/>
  <c r="AP201" i="2"/>
  <c r="AP202" i="2"/>
  <c r="AP203" i="2"/>
  <c r="AP204" i="2"/>
  <c r="AP205" i="2"/>
  <c r="AP206" i="2"/>
  <c r="AP207" i="2"/>
  <c r="AP208" i="2"/>
  <c r="AP209" i="2"/>
  <c r="AP210" i="2"/>
  <c r="AP211" i="2"/>
  <c r="AP212" i="2"/>
  <c r="AP213" i="2"/>
  <c r="AP214" i="2"/>
  <c r="AP215" i="2"/>
  <c r="AP216" i="2"/>
  <c r="AP217" i="2"/>
  <c r="AP218" i="2"/>
  <c r="AP219" i="2"/>
  <c r="AP220" i="2"/>
  <c r="AP221" i="2"/>
  <c r="AP222" i="2"/>
  <c r="AP223" i="2"/>
  <c r="AP224" i="2"/>
  <c r="AP225" i="2"/>
  <c r="AP226" i="2"/>
  <c r="AP227" i="2"/>
  <c r="AP228" i="2"/>
  <c r="AP229" i="2"/>
  <c r="AP230" i="2"/>
  <c r="AP231" i="2"/>
  <c r="AP232" i="2"/>
  <c r="AP233" i="2"/>
  <c r="AP234" i="2"/>
  <c r="AP235" i="2"/>
  <c r="AP236" i="2"/>
  <c r="AP237" i="2"/>
  <c r="AP238" i="2"/>
  <c r="AP239" i="2"/>
  <c r="AP240" i="2"/>
  <c r="AP241" i="2"/>
  <c r="AP242" i="2"/>
  <c r="AP243" i="2"/>
  <c r="AP244" i="2"/>
  <c r="AP245" i="2"/>
  <c r="AP246" i="2"/>
  <c r="AP247" i="2"/>
  <c r="AP248" i="2"/>
  <c r="AP249" i="2"/>
  <c r="AP250" i="2"/>
  <c r="AP251" i="2"/>
  <c r="AP252" i="2"/>
  <c r="AP253" i="2"/>
  <c r="AP254" i="2"/>
  <c r="AP255" i="2"/>
  <c r="AP256" i="2"/>
  <c r="AP257" i="2"/>
  <c r="AP258" i="2"/>
  <c r="AP259" i="2"/>
  <c r="AP260" i="2"/>
  <c r="AP261" i="2"/>
  <c r="AP262" i="2"/>
  <c r="AP263" i="2"/>
  <c r="AP264" i="2"/>
  <c r="AP265" i="2"/>
  <c r="AP8" i="2"/>
  <c r="D35" i="3"/>
  <c r="C35" i="3"/>
  <c r="AO468" i="2"/>
  <c r="AN468" i="2"/>
  <c r="AH468" i="2"/>
  <c r="AB468" i="2"/>
  <c r="V468" i="2"/>
  <c r="R468" i="2"/>
  <c r="T468" i="2" s="1"/>
  <c r="N468" i="2"/>
  <c r="M468" i="2"/>
  <c r="AO467" i="2"/>
  <c r="AN467" i="2"/>
  <c r="AH467" i="2"/>
  <c r="AB467" i="2"/>
  <c r="V467" i="2"/>
  <c r="R467" i="2"/>
  <c r="T467" i="2" s="1"/>
  <c r="N467" i="2"/>
  <c r="M467" i="2"/>
  <c r="AO466" i="2"/>
  <c r="AN466" i="2"/>
  <c r="AH466" i="2"/>
  <c r="AB466" i="2"/>
  <c r="V466" i="2"/>
  <c r="T466" i="2"/>
  <c r="R466" i="2"/>
  <c r="N466" i="2"/>
  <c r="AO465" i="2"/>
  <c r="AN465" i="2"/>
  <c r="AH465" i="2"/>
  <c r="AB465" i="2"/>
  <c r="V465" i="2"/>
  <c r="T465" i="2"/>
  <c r="R465" i="2"/>
  <c r="N465" i="2"/>
  <c r="M465" i="2"/>
  <c r="AO464" i="2"/>
  <c r="AN464" i="2"/>
  <c r="AH464" i="2"/>
  <c r="AB464" i="2"/>
  <c r="V464" i="2"/>
  <c r="R464" i="2"/>
  <c r="T464" i="2" s="1"/>
  <c r="N464" i="2"/>
  <c r="AO463" i="2"/>
  <c r="AN463" i="2"/>
  <c r="AH463" i="2"/>
  <c r="AB463" i="2"/>
  <c r="V463" i="2"/>
  <c r="R463" i="2"/>
  <c r="T463" i="2" s="1"/>
  <c r="N463" i="2"/>
  <c r="M463" i="2"/>
  <c r="AO462" i="2"/>
  <c r="AN462" i="2"/>
  <c r="AH462" i="2"/>
  <c r="AB462" i="2"/>
  <c r="V462" i="2"/>
  <c r="T462" i="2"/>
  <c r="R462" i="2"/>
  <c r="N462" i="2"/>
  <c r="M462" i="2"/>
  <c r="AO461" i="2"/>
  <c r="AN461" i="2"/>
  <c r="AH461" i="2"/>
  <c r="AB461" i="2"/>
  <c r="V461" i="2"/>
  <c r="V469" i="2" s="1"/>
  <c r="V470" i="2" s="1"/>
  <c r="R461" i="2"/>
  <c r="T461" i="2" s="1"/>
  <c r="T469" i="2" s="1"/>
  <c r="T470" i="2" s="1"/>
  <c r="N461" i="2"/>
  <c r="M461" i="2"/>
  <c r="T455" i="2"/>
  <c r="V455" i="2" s="1"/>
  <c r="AO439" i="2"/>
  <c r="AN439" i="2"/>
  <c r="AH439" i="2"/>
  <c r="AB439" i="2"/>
  <c r="V439" i="2"/>
  <c r="R439" i="2"/>
  <c r="T439" i="2" s="1"/>
  <c r="AO438" i="2"/>
  <c r="AN438" i="2"/>
  <c r="AH438" i="2"/>
  <c r="AB438" i="2"/>
  <c r="V438" i="2"/>
  <c r="T438" i="2"/>
  <c r="R438" i="2"/>
  <c r="AO437" i="2"/>
  <c r="AN437" i="2"/>
  <c r="AH437" i="2"/>
  <c r="AB437" i="2"/>
  <c r="V437" i="2"/>
  <c r="R437" i="2"/>
  <c r="T437" i="2" s="1"/>
  <c r="AO436" i="2"/>
  <c r="AN436" i="2"/>
  <c r="AH436" i="2"/>
  <c r="AB436" i="2"/>
  <c r="V436" i="2"/>
  <c r="R436" i="2"/>
  <c r="T436" i="2" s="1"/>
  <c r="AO435" i="2"/>
  <c r="AO434" i="2"/>
  <c r="AN434" i="2"/>
  <c r="AL434" i="2"/>
  <c r="AH434" i="2"/>
  <c r="AF434" i="2"/>
  <c r="AB434" i="2"/>
  <c r="Z434" i="2"/>
  <c r="V434" i="2"/>
  <c r="R434" i="2"/>
  <c r="T434" i="2" s="1"/>
  <c r="N434" i="2"/>
  <c r="M434" i="2"/>
  <c r="R433" i="2"/>
  <c r="AO431" i="2"/>
  <c r="AN431" i="2"/>
  <c r="AH431" i="2"/>
  <c r="AF431" i="2"/>
  <c r="AB431" i="2"/>
  <c r="Z431" i="2"/>
  <c r="V431" i="2"/>
  <c r="T431" i="2"/>
  <c r="AO430" i="2"/>
  <c r="AN430" i="2"/>
  <c r="AH430" i="2"/>
  <c r="AB430" i="2"/>
  <c r="V430" i="2"/>
  <c r="T430" i="2"/>
  <c r="AO428" i="2"/>
  <c r="AN428" i="2"/>
  <c r="AH428" i="2"/>
  <c r="AF428" i="2"/>
  <c r="AB428" i="2"/>
  <c r="Z428" i="2"/>
  <c r="V428" i="2"/>
  <c r="R428" i="2"/>
  <c r="T428" i="2" s="1"/>
  <c r="N428" i="2"/>
  <c r="M428" i="2"/>
  <c r="AO427" i="2"/>
  <c r="AN427" i="2"/>
  <c r="AK427" i="2"/>
  <c r="AL427" i="2" s="1"/>
  <c r="AH427" i="2"/>
  <c r="AF427" i="2"/>
  <c r="AB427" i="2"/>
  <c r="Z427" i="2"/>
  <c r="W427" i="2"/>
  <c r="V427" i="2"/>
  <c r="T427" i="2"/>
  <c r="AO426" i="2"/>
  <c r="AN426" i="2"/>
  <c r="AH426" i="2"/>
  <c r="AB426" i="2"/>
  <c r="V426" i="2"/>
  <c r="T426" i="2"/>
  <c r="N426" i="2"/>
  <c r="M426" i="2"/>
  <c r="AO425" i="2"/>
  <c r="AN425" i="2"/>
  <c r="AH425" i="2"/>
  <c r="AB425" i="2"/>
  <c r="V425" i="2"/>
  <c r="T425" i="2"/>
  <c r="N425" i="2"/>
  <c r="M425" i="2"/>
  <c r="AO424" i="2"/>
  <c r="AN424" i="2"/>
  <c r="AL424" i="2"/>
  <c r="AH424" i="2"/>
  <c r="AF424" i="2"/>
  <c r="AC424" i="2"/>
  <c r="AB424" i="2"/>
  <c r="Z424" i="2"/>
  <c r="V424" i="2"/>
  <c r="T424" i="2"/>
  <c r="AO423" i="2"/>
  <c r="AN423" i="2"/>
  <c r="AL423" i="2"/>
  <c r="AH423" i="2"/>
  <c r="AF423" i="2"/>
  <c r="AB423" i="2"/>
  <c r="V423" i="2"/>
  <c r="T423" i="2"/>
  <c r="N423" i="2"/>
  <c r="M423" i="2"/>
  <c r="AO422" i="2"/>
  <c r="AN422" i="2"/>
  <c r="AL422" i="2"/>
  <c r="AH422" i="2"/>
  <c r="AF422" i="2"/>
  <c r="AB422" i="2"/>
  <c r="Z422" i="2"/>
  <c r="V422" i="2"/>
  <c r="T422" i="2"/>
  <c r="R422" i="2"/>
  <c r="N422" i="2"/>
  <c r="M422" i="2"/>
  <c r="AO421" i="2"/>
  <c r="AN421" i="2"/>
  <c r="AH421" i="2"/>
  <c r="AF421" i="2"/>
  <c r="AB421" i="2"/>
  <c r="V421" i="2"/>
  <c r="R421" i="2"/>
  <c r="T421" i="2" s="1"/>
  <c r="N421" i="2"/>
  <c r="M421" i="2"/>
  <c r="AO420" i="2"/>
  <c r="AN420" i="2"/>
  <c r="AH420" i="2"/>
  <c r="AF420" i="2"/>
  <c r="AB420" i="2"/>
  <c r="V420" i="2"/>
  <c r="R420" i="2"/>
  <c r="T420" i="2" s="1"/>
  <c r="AO419" i="2"/>
  <c r="AN419" i="2"/>
  <c r="AK419" i="2"/>
  <c r="AL419" i="2" s="1"/>
  <c r="AH419" i="2"/>
  <c r="AE419" i="2"/>
  <c r="AF419" i="2" s="1"/>
  <c r="AB419" i="2"/>
  <c r="Z419" i="2"/>
  <c r="V419" i="2"/>
  <c r="T419" i="2"/>
  <c r="R419" i="2"/>
  <c r="N419" i="2"/>
  <c r="M419" i="2"/>
  <c r="AO418" i="2"/>
  <c r="AN418" i="2"/>
  <c r="AL418" i="2"/>
  <c r="AH418" i="2"/>
  <c r="AB418" i="2"/>
  <c r="Z418" i="2"/>
  <c r="V418" i="2"/>
  <c r="R418" i="2"/>
  <c r="T418" i="2" s="1"/>
  <c r="N418" i="2"/>
  <c r="M418" i="2"/>
  <c r="AO417" i="2"/>
  <c r="AN417" i="2"/>
  <c r="AH417" i="2"/>
  <c r="AE417" i="2"/>
  <c r="AC417" i="2"/>
  <c r="AB417" i="2"/>
  <c r="V417" i="2"/>
  <c r="T417" i="2"/>
  <c r="N417" i="2"/>
  <c r="AO416" i="2"/>
  <c r="AN416" i="2"/>
  <c r="AL416" i="2"/>
  <c r="AH416" i="2"/>
  <c r="AB416" i="2"/>
  <c r="V416" i="2"/>
  <c r="R416" i="2"/>
  <c r="T416" i="2" s="1"/>
  <c r="N416" i="2"/>
  <c r="M416" i="2"/>
  <c r="AO415" i="2"/>
  <c r="AN415" i="2"/>
  <c r="AH415" i="2"/>
  <c r="AF415" i="2"/>
  <c r="AB415" i="2"/>
  <c r="Z415" i="2"/>
  <c r="V415" i="2"/>
  <c r="T415" i="2"/>
  <c r="N415" i="2"/>
  <c r="M415" i="2"/>
  <c r="AO414" i="2"/>
  <c r="AN414" i="2"/>
  <c r="AH414" i="2"/>
  <c r="AF414" i="2"/>
  <c r="AB414" i="2"/>
  <c r="Z414" i="2"/>
  <c r="V414" i="2"/>
  <c r="T414" i="2"/>
  <c r="N414" i="2"/>
  <c r="M414" i="2"/>
  <c r="AO413" i="2"/>
  <c r="AN413" i="2"/>
  <c r="AL413" i="2"/>
  <c r="AH413" i="2"/>
  <c r="AF413" i="2"/>
  <c r="AB413" i="2"/>
  <c r="W413" i="2"/>
  <c r="Z413" i="2" s="1"/>
  <c r="V413" i="2"/>
  <c r="T413" i="2"/>
  <c r="N413" i="2"/>
  <c r="M413" i="2"/>
  <c r="AO411" i="2"/>
  <c r="AN411" i="2"/>
  <c r="AH411" i="2"/>
  <c r="AB411" i="2"/>
  <c r="V411" i="2"/>
  <c r="T411" i="2"/>
  <c r="AO410" i="2"/>
  <c r="AN410" i="2"/>
  <c r="AH410" i="2"/>
  <c r="AB410" i="2"/>
  <c r="V410" i="2"/>
  <c r="T410" i="2"/>
  <c r="AO409" i="2"/>
  <c r="AN409" i="2"/>
  <c r="AL409" i="2"/>
  <c r="AH409" i="2"/>
  <c r="AF409" i="2"/>
  <c r="AB409" i="2"/>
  <c r="V409" i="2"/>
  <c r="T409" i="2"/>
  <c r="AO408" i="2"/>
  <c r="AN408" i="2"/>
  <c r="AL408" i="2"/>
  <c r="AH408" i="2"/>
  <c r="AC408" i="2"/>
  <c r="AF408" i="2" s="1"/>
  <c r="AB408" i="2"/>
  <c r="Z408" i="2"/>
  <c r="V408" i="2"/>
  <c r="T408" i="2"/>
  <c r="N408" i="2"/>
  <c r="M408" i="2"/>
  <c r="AO407" i="2"/>
  <c r="AN407" i="2"/>
  <c r="AL407" i="2"/>
  <c r="AH407" i="2"/>
  <c r="AB407" i="2"/>
  <c r="V407" i="2"/>
  <c r="T407" i="2"/>
  <c r="AO406" i="2"/>
  <c r="AN406" i="2"/>
  <c r="AI406" i="2"/>
  <c r="AL406" i="2" s="1"/>
  <c r="AH406" i="2"/>
  <c r="AF406" i="2"/>
  <c r="AB406" i="2"/>
  <c r="Y406" i="2"/>
  <c r="W406" i="2"/>
  <c r="V406" i="2"/>
  <c r="T406" i="2"/>
  <c r="AO405" i="2"/>
  <c r="AN405" i="2"/>
  <c r="AL405" i="2"/>
  <c r="AH405" i="2"/>
  <c r="AF405" i="2"/>
  <c r="AB405" i="2"/>
  <c r="V405" i="2"/>
  <c r="T405" i="2"/>
  <c r="N405" i="2"/>
  <c r="AO404" i="2"/>
  <c r="AN404" i="2"/>
  <c r="AL404" i="2"/>
  <c r="AH404" i="2"/>
  <c r="AF404" i="2"/>
  <c r="AB404" i="2"/>
  <c r="V404" i="2"/>
  <c r="R404" i="2"/>
  <c r="T404" i="2" s="1"/>
  <c r="N404" i="2"/>
  <c r="AO403" i="2"/>
  <c r="AN403" i="2"/>
  <c r="AL403" i="2"/>
  <c r="AH403" i="2"/>
  <c r="AB403" i="2"/>
  <c r="V403" i="2"/>
  <c r="T403" i="2"/>
  <c r="N403" i="2"/>
  <c r="M403" i="2"/>
  <c r="AO402" i="2"/>
  <c r="AN402" i="2"/>
  <c r="AL402" i="2"/>
  <c r="AH402" i="2"/>
  <c r="AF402" i="2"/>
  <c r="AB402" i="2"/>
  <c r="W402" i="2"/>
  <c r="Z402" i="2" s="1"/>
  <c r="V402" i="2"/>
  <c r="T402" i="2"/>
  <c r="N402" i="2"/>
  <c r="AO401" i="2"/>
  <c r="AN401" i="2"/>
  <c r="AH401" i="2"/>
  <c r="AF401" i="2"/>
  <c r="AC401" i="2"/>
  <c r="AB401" i="2"/>
  <c r="Z401" i="2"/>
  <c r="V401" i="2"/>
  <c r="T401" i="2"/>
  <c r="N401" i="2"/>
  <c r="AO400" i="2"/>
  <c r="AN400" i="2"/>
  <c r="AH400" i="2"/>
  <c r="AF400" i="2"/>
  <c r="AB400" i="2"/>
  <c r="Z400" i="2"/>
  <c r="V400" i="2"/>
  <c r="T400" i="2"/>
  <c r="N400" i="2"/>
  <c r="AO399" i="2"/>
  <c r="AN399" i="2"/>
  <c r="AH399" i="2"/>
  <c r="AE399" i="2"/>
  <c r="AF399" i="2" s="1"/>
  <c r="AC399" i="2"/>
  <c r="AB399" i="2"/>
  <c r="V399" i="2"/>
  <c r="R399" i="2"/>
  <c r="T399" i="2" s="1"/>
  <c r="M399" i="2"/>
  <c r="AO398" i="2"/>
  <c r="AN398" i="2"/>
  <c r="AL398" i="2"/>
  <c r="AH398" i="2"/>
  <c r="AF398" i="2"/>
  <c r="AC398" i="2"/>
  <c r="AB398" i="2"/>
  <c r="W398" i="2"/>
  <c r="Z398" i="2" s="1"/>
  <c r="V398" i="2"/>
  <c r="T398" i="2"/>
  <c r="N398" i="2"/>
  <c r="M398" i="2"/>
  <c r="AO397" i="2"/>
  <c r="AN397" i="2"/>
  <c r="AH397" i="2"/>
  <c r="AF397" i="2"/>
  <c r="AB397" i="2"/>
  <c r="V397" i="2"/>
  <c r="T397" i="2"/>
  <c r="N397" i="2"/>
  <c r="AO396" i="2"/>
  <c r="AN396" i="2"/>
  <c r="AH396" i="2"/>
  <c r="AE396" i="2"/>
  <c r="AF396" i="2" s="1"/>
  <c r="AC396" i="2"/>
  <c r="AB396" i="2"/>
  <c r="V396" i="2"/>
  <c r="T396" i="2"/>
  <c r="N396" i="2"/>
  <c r="AO395" i="2"/>
  <c r="AN395" i="2"/>
  <c r="AH395" i="2"/>
  <c r="AF395" i="2"/>
  <c r="AB395" i="2"/>
  <c r="V395" i="2"/>
  <c r="T395" i="2"/>
  <c r="N395" i="2"/>
  <c r="M395" i="2"/>
  <c r="AO394" i="2"/>
  <c r="AN394" i="2"/>
  <c r="AH394" i="2"/>
  <c r="AB394" i="2"/>
  <c r="V394" i="2"/>
  <c r="T394" i="2"/>
  <c r="M394" i="2"/>
  <c r="AO393" i="2"/>
  <c r="AN393" i="2"/>
  <c r="AH393" i="2"/>
  <c r="AB393" i="2"/>
  <c r="V393" i="2"/>
  <c r="T393" i="2"/>
  <c r="N393" i="2"/>
  <c r="AO392" i="2"/>
  <c r="AN392" i="2"/>
  <c r="AL392" i="2"/>
  <c r="AH392" i="2"/>
  <c r="AB392" i="2"/>
  <c r="V392" i="2"/>
  <c r="T392" i="2"/>
  <c r="N392" i="2"/>
  <c r="AO391" i="2"/>
  <c r="AN391" i="2"/>
  <c r="AH391" i="2"/>
  <c r="AB391" i="2"/>
  <c r="V391" i="2"/>
  <c r="T391" i="2"/>
  <c r="N391" i="2"/>
  <c r="AO390" i="2"/>
  <c r="AN390" i="2"/>
  <c r="AH390" i="2"/>
  <c r="AB390" i="2"/>
  <c r="V390" i="2"/>
  <c r="T390" i="2"/>
  <c r="N390" i="2"/>
  <c r="AO389" i="2"/>
  <c r="AN389" i="2"/>
  <c r="AH389" i="2"/>
  <c r="AB389" i="2"/>
  <c r="V389" i="2"/>
  <c r="T389" i="2"/>
  <c r="N389" i="2"/>
  <c r="M389" i="2"/>
  <c r="AO388" i="2"/>
  <c r="AN388" i="2"/>
  <c r="AH388" i="2"/>
  <c r="AF388" i="2"/>
  <c r="AB388" i="2"/>
  <c r="V388" i="2"/>
  <c r="T388" i="2"/>
  <c r="N388" i="2"/>
  <c r="M388" i="2"/>
  <c r="AO387" i="2"/>
  <c r="AN387" i="2"/>
  <c r="AH387" i="2"/>
  <c r="AF387" i="2"/>
  <c r="AB387" i="2"/>
  <c r="V387" i="2"/>
  <c r="T387" i="2"/>
  <c r="N387" i="2"/>
  <c r="AO386" i="2"/>
  <c r="AN386" i="2"/>
  <c r="AH386" i="2"/>
  <c r="AF386" i="2"/>
  <c r="AB386" i="2"/>
  <c r="V386" i="2"/>
  <c r="T386" i="2"/>
  <c r="O386" i="2"/>
  <c r="N386" i="2"/>
  <c r="M386" i="2"/>
  <c r="AO385" i="2"/>
  <c r="AN385" i="2"/>
  <c r="AL385" i="2"/>
  <c r="AH385" i="2"/>
  <c r="AC385" i="2"/>
  <c r="AF385" i="2" s="1"/>
  <c r="AB385" i="2"/>
  <c r="Z385" i="2"/>
  <c r="V385" i="2"/>
  <c r="T385" i="2"/>
  <c r="N385" i="2"/>
  <c r="M385" i="2"/>
  <c r="AO384" i="2"/>
  <c r="AN384" i="2"/>
  <c r="AH384" i="2"/>
  <c r="AF384" i="2"/>
  <c r="AC384" i="2"/>
  <c r="AB384" i="2"/>
  <c r="Z384" i="2"/>
  <c r="V384" i="2"/>
  <c r="T384" i="2"/>
  <c r="N384" i="2"/>
  <c r="M384" i="2"/>
  <c r="AO383" i="2"/>
  <c r="AN383" i="2"/>
  <c r="AH383" i="2"/>
  <c r="AF383" i="2"/>
  <c r="AB383" i="2"/>
  <c r="Z383" i="2"/>
  <c r="V383" i="2"/>
  <c r="T383" i="2"/>
  <c r="N383" i="2"/>
  <c r="M383" i="2"/>
  <c r="AO382" i="2"/>
  <c r="AN382" i="2"/>
  <c r="AH382" i="2"/>
  <c r="AF382" i="2"/>
  <c r="AB382" i="2"/>
  <c r="Z382" i="2"/>
  <c r="V382" i="2"/>
  <c r="T382" i="2"/>
  <c r="AO381" i="2"/>
  <c r="AN381" i="2"/>
  <c r="AH381" i="2"/>
  <c r="AF381" i="2"/>
  <c r="AB381" i="2"/>
  <c r="W381" i="2"/>
  <c r="Z381" i="2" s="1"/>
  <c r="V381" i="2"/>
  <c r="T381" i="2"/>
  <c r="N381" i="2"/>
  <c r="M381" i="2"/>
  <c r="AO380" i="2"/>
  <c r="AN380" i="2"/>
  <c r="AH380" i="2"/>
  <c r="AF380" i="2"/>
  <c r="AB380" i="2"/>
  <c r="Z380" i="2"/>
  <c r="V380" i="2"/>
  <c r="T380" i="2"/>
  <c r="N380" i="2"/>
  <c r="M380" i="2"/>
  <c r="AO379" i="2"/>
  <c r="AN379" i="2"/>
  <c r="AH379" i="2"/>
  <c r="AC379" i="2"/>
  <c r="AF379" i="2" s="1"/>
  <c r="AB379" i="2"/>
  <c r="Y379" i="2"/>
  <c r="Z379" i="2" s="1"/>
  <c r="V379" i="2"/>
  <c r="T379" i="2"/>
  <c r="N379" i="2"/>
  <c r="M379" i="2"/>
  <c r="AO377" i="2"/>
  <c r="AN377" i="2"/>
  <c r="AO376" i="2"/>
  <c r="AN376" i="2"/>
  <c r="AH376" i="2"/>
  <c r="AE376" i="2"/>
  <c r="AC376" i="2"/>
  <c r="AB376" i="2"/>
  <c r="V376" i="2"/>
  <c r="T376" i="2"/>
  <c r="AO14" i="2"/>
  <c r="AN14" i="2"/>
  <c r="AH14" i="2"/>
  <c r="AF14" i="2"/>
  <c r="AB14" i="2"/>
  <c r="V14" i="2"/>
  <c r="T14" i="2"/>
  <c r="AO375" i="2"/>
  <c r="AN375" i="2"/>
  <c r="AH375" i="2"/>
  <c r="AF375" i="2"/>
  <c r="AB375" i="2"/>
  <c r="V375" i="2"/>
  <c r="T375" i="2"/>
  <c r="AO374" i="2"/>
  <c r="AN374" i="2"/>
  <c r="AH374" i="2"/>
  <c r="AF374" i="2"/>
  <c r="AB374" i="2"/>
  <c r="V374" i="2"/>
  <c r="T374" i="2"/>
  <c r="AO373" i="2"/>
  <c r="AN373" i="2"/>
  <c r="AH373" i="2"/>
  <c r="AF373" i="2"/>
  <c r="AB373" i="2"/>
  <c r="V373" i="2"/>
  <c r="T373" i="2"/>
  <c r="AO372" i="2"/>
  <c r="AN372" i="2"/>
  <c r="AH372" i="2"/>
  <c r="AF372" i="2"/>
  <c r="AB372" i="2"/>
  <c r="Z372" i="2"/>
  <c r="V372" i="2"/>
  <c r="T372" i="2"/>
  <c r="AO13" i="2"/>
  <c r="AN13" i="2"/>
  <c r="AL13" i="2"/>
  <c r="AH13" i="2"/>
  <c r="AE13" i="2"/>
  <c r="AF13" i="2" s="1"/>
  <c r="AC13" i="2"/>
  <c r="AB13" i="2"/>
  <c r="Z13" i="2"/>
  <c r="V13" i="2"/>
  <c r="T13" i="2"/>
  <c r="AO371" i="2"/>
  <c r="AN371" i="2"/>
  <c r="AH371" i="2"/>
  <c r="AF371" i="2"/>
  <c r="AB371" i="2"/>
  <c r="Y371" i="2"/>
  <c r="Z371" i="2" s="1"/>
  <c r="V371" i="2"/>
  <c r="T371" i="2"/>
  <c r="AO12" i="2"/>
  <c r="AN12" i="2"/>
  <c r="AL12" i="2"/>
  <c r="AH12" i="2"/>
  <c r="AC12" i="2"/>
  <c r="AF12" i="2" s="1"/>
  <c r="AB12" i="2"/>
  <c r="Y12" i="2"/>
  <c r="Z12" i="2" s="1"/>
  <c r="V12" i="2"/>
  <c r="T12" i="2"/>
  <c r="AO11" i="2"/>
  <c r="AN11" i="2"/>
  <c r="AL11" i="2"/>
  <c r="AH11" i="2"/>
  <c r="AC11" i="2"/>
  <c r="AF11" i="2" s="1"/>
  <c r="AB11" i="2"/>
  <c r="Y11" i="2"/>
  <c r="Z11" i="2" s="1"/>
  <c r="V11" i="2"/>
  <c r="T11" i="2"/>
  <c r="AO10" i="2"/>
  <c r="AN10" i="2"/>
  <c r="AL10" i="2"/>
  <c r="AH10" i="2"/>
  <c r="AF10" i="2"/>
  <c r="AB10" i="2"/>
  <c r="Z10" i="2"/>
  <c r="V10" i="2"/>
  <c r="T10" i="2"/>
  <c r="AO370" i="2"/>
  <c r="AN370" i="2"/>
  <c r="AH370" i="2"/>
  <c r="AE370" i="2"/>
  <c r="AF370" i="2" s="1"/>
  <c r="AB370" i="2"/>
  <c r="Z370" i="2"/>
  <c r="V370" i="2"/>
  <c r="T370" i="2"/>
  <c r="AO369" i="2"/>
  <c r="AN369" i="2"/>
  <c r="AH369" i="2"/>
  <c r="AF369" i="2"/>
  <c r="AB369" i="2"/>
  <c r="V369" i="2"/>
  <c r="T369" i="2"/>
  <c r="AO368" i="2"/>
  <c r="AN368" i="2"/>
  <c r="AH368" i="2"/>
  <c r="AE368" i="2"/>
  <c r="AF368" i="2" s="1"/>
  <c r="AB368" i="2"/>
  <c r="V368" i="2"/>
  <c r="T368" i="2"/>
  <c r="AO74" i="2"/>
  <c r="AN74" i="2"/>
  <c r="AK74" i="2"/>
  <c r="AL74" i="2" s="1"/>
  <c r="AH74" i="2"/>
  <c r="AB74" i="2"/>
  <c r="V74" i="2"/>
  <c r="T74" i="2"/>
  <c r="AO367" i="2"/>
  <c r="AN367" i="2"/>
  <c r="AH367" i="2"/>
  <c r="AB367" i="2"/>
  <c r="V367" i="2"/>
  <c r="T367" i="2"/>
  <c r="AO73" i="2"/>
  <c r="AN73" i="2"/>
  <c r="AH73" i="2"/>
  <c r="AF73" i="2"/>
  <c r="AC73" i="2"/>
  <c r="AB73" i="2"/>
  <c r="V73" i="2"/>
  <c r="T73" i="2"/>
  <c r="P73" i="2"/>
  <c r="AO366" i="2"/>
  <c r="AN366" i="2"/>
  <c r="AH366" i="2"/>
  <c r="AF366" i="2"/>
  <c r="AB366" i="2"/>
  <c r="V366" i="2"/>
  <c r="T366" i="2"/>
  <c r="AO365" i="2"/>
  <c r="AN365" i="2"/>
  <c r="AH365" i="2"/>
  <c r="AF365" i="2"/>
  <c r="AB365" i="2"/>
  <c r="V365" i="2"/>
  <c r="T365" i="2"/>
  <c r="AO72" i="2"/>
  <c r="AN72" i="2"/>
  <c r="AH72" i="2"/>
  <c r="AF72" i="2"/>
  <c r="AB72" i="2"/>
  <c r="V72" i="2"/>
  <c r="R72" i="2"/>
  <c r="T72" i="2" s="1"/>
  <c r="AO364" i="2"/>
  <c r="AO363" i="2"/>
  <c r="AO71" i="2"/>
  <c r="AN71" i="2"/>
  <c r="AH71" i="2"/>
  <c r="AB71" i="2"/>
  <c r="V71" i="2"/>
  <c r="T71" i="2"/>
  <c r="AO70" i="2"/>
  <c r="AN70" i="2"/>
  <c r="AH70" i="2"/>
  <c r="AF70" i="2"/>
  <c r="AB70" i="2"/>
  <c r="V70" i="2"/>
  <c r="T70" i="2"/>
  <c r="AO361" i="2"/>
  <c r="AN361" i="2"/>
  <c r="AH361" i="2"/>
  <c r="AF361" i="2"/>
  <c r="AB361" i="2"/>
  <c r="V361" i="2"/>
  <c r="T361" i="2"/>
  <c r="Q361" i="2"/>
  <c r="AO360" i="2"/>
  <c r="AN360" i="2"/>
  <c r="AH360" i="2"/>
  <c r="AB360" i="2"/>
  <c r="V360" i="2"/>
  <c r="T360" i="2"/>
  <c r="AO359" i="2"/>
  <c r="AN359" i="2"/>
  <c r="AH359" i="2"/>
  <c r="AB359" i="2"/>
  <c r="V359" i="2"/>
  <c r="R359" i="2"/>
  <c r="T359" i="2" s="1"/>
  <c r="AO358" i="2"/>
  <c r="AN358" i="2"/>
  <c r="AL358" i="2"/>
  <c r="AH358" i="2"/>
  <c r="AF358" i="2"/>
  <c r="AC358" i="2"/>
  <c r="AB358" i="2"/>
  <c r="V358" i="2"/>
  <c r="T358" i="2"/>
  <c r="N358" i="2"/>
  <c r="AO69" i="2"/>
  <c r="AN69" i="2"/>
  <c r="AH69" i="2"/>
  <c r="AB69" i="2"/>
  <c r="V69" i="2"/>
  <c r="T69" i="2"/>
  <c r="AO68" i="2"/>
  <c r="AN68" i="2"/>
  <c r="AH68" i="2"/>
  <c r="AB68" i="2"/>
  <c r="V68" i="2"/>
  <c r="T68" i="2"/>
  <c r="AO357" i="2"/>
  <c r="AN357" i="2"/>
  <c r="AH357" i="2"/>
  <c r="AB357" i="2"/>
  <c r="Z357" i="2"/>
  <c r="Y357" i="2"/>
  <c r="V357" i="2"/>
  <c r="T357" i="2"/>
  <c r="AO356" i="2"/>
  <c r="AN356" i="2"/>
  <c r="AH356" i="2"/>
  <c r="AB356" i="2"/>
  <c r="V356" i="2"/>
  <c r="T356" i="2"/>
  <c r="AO355" i="2"/>
  <c r="AN355" i="2"/>
  <c r="AH355" i="2"/>
  <c r="AB355" i="2"/>
  <c r="V355" i="2"/>
  <c r="R355" i="2"/>
  <c r="T355" i="2" s="1"/>
  <c r="AO353" i="2"/>
  <c r="AN353" i="2"/>
  <c r="AH353" i="2"/>
  <c r="AB353" i="2"/>
  <c r="V353" i="2"/>
  <c r="R353" i="2"/>
  <c r="T353" i="2" s="1"/>
  <c r="AO352" i="2"/>
  <c r="AN352" i="2"/>
  <c r="AH352" i="2"/>
  <c r="AB352" i="2"/>
  <c r="V352" i="2"/>
  <c r="R352" i="2"/>
  <c r="T352" i="2" s="1"/>
  <c r="AO351" i="2"/>
  <c r="AN351" i="2"/>
  <c r="AH351" i="2"/>
  <c r="AB351" i="2"/>
  <c r="V351" i="2"/>
  <c r="T351" i="2"/>
  <c r="R351" i="2"/>
  <c r="AO350" i="2"/>
  <c r="AN350" i="2"/>
  <c r="AH350" i="2"/>
  <c r="AB350" i="2"/>
  <c r="V350" i="2"/>
  <c r="R350" i="2"/>
  <c r="T350" i="2" s="1"/>
  <c r="AO349" i="2"/>
  <c r="AN349" i="2"/>
  <c r="AH349" i="2"/>
  <c r="AB349" i="2"/>
  <c r="Y349" i="2"/>
  <c r="Z349" i="2" s="1"/>
  <c r="V349" i="2"/>
  <c r="T349" i="2"/>
  <c r="N349" i="2"/>
  <c r="M349" i="2"/>
  <c r="AO348" i="2"/>
  <c r="AN348" i="2"/>
  <c r="AH348" i="2"/>
  <c r="AB348" i="2"/>
  <c r="Z348" i="2"/>
  <c r="V348" i="2"/>
  <c r="R348" i="2"/>
  <c r="T348" i="2" s="1"/>
  <c r="AO347" i="2"/>
  <c r="AN347" i="2"/>
  <c r="AL347" i="2"/>
  <c r="AH347" i="2"/>
  <c r="AF347" i="2"/>
  <c r="AB347" i="2"/>
  <c r="Z347" i="2"/>
  <c r="V347" i="2"/>
  <c r="T347" i="2"/>
  <c r="N347" i="2"/>
  <c r="M347" i="2"/>
  <c r="AO67" i="2"/>
  <c r="AN67" i="2"/>
  <c r="AL67" i="2"/>
  <c r="AH67" i="2"/>
  <c r="AF67" i="2"/>
  <c r="AB67" i="2"/>
  <c r="W67" i="2"/>
  <c r="Z67" i="2" s="1"/>
  <c r="V67" i="2"/>
  <c r="T67" i="2"/>
  <c r="N67" i="2"/>
  <c r="M67" i="2"/>
  <c r="AO66" i="2"/>
  <c r="AN66" i="2"/>
  <c r="AL66" i="2"/>
  <c r="AH66" i="2"/>
  <c r="AF66" i="2"/>
  <c r="AB66" i="2"/>
  <c r="W66" i="2"/>
  <c r="Z66" i="2" s="1"/>
  <c r="V66" i="2"/>
  <c r="T66" i="2"/>
  <c r="N66" i="2"/>
  <c r="M66" i="2"/>
  <c r="AO65" i="2"/>
  <c r="AN65" i="2"/>
  <c r="AL65" i="2"/>
  <c r="AH65" i="2"/>
  <c r="AF65" i="2"/>
  <c r="AB65" i="2"/>
  <c r="Z65" i="2"/>
  <c r="V65" i="2"/>
  <c r="R65" i="2"/>
  <c r="T65" i="2" s="1"/>
  <c r="N65" i="2"/>
  <c r="M65" i="2"/>
  <c r="AO346" i="2"/>
  <c r="AN346" i="2"/>
  <c r="AL346" i="2"/>
  <c r="AH346" i="2"/>
  <c r="AB346" i="2"/>
  <c r="V346" i="2"/>
  <c r="R346" i="2"/>
  <c r="T346" i="2" s="1"/>
  <c r="N346" i="2"/>
  <c r="M346" i="2"/>
  <c r="AO345" i="2"/>
  <c r="AN345" i="2"/>
  <c r="AH345" i="2"/>
  <c r="AB345" i="2"/>
  <c r="V345" i="2"/>
  <c r="R345" i="2"/>
  <c r="T345" i="2" s="1"/>
  <c r="N345" i="2"/>
  <c r="M345" i="2"/>
  <c r="AO344" i="2"/>
  <c r="AN344" i="2"/>
  <c r="AL344" i="2"/>
  <c r="AH344" i="2"/>
  <c r="AC344" i="2"/>
  <c r="AF344" i="2" s="1"/>
  <c r="AB344" i="2"/>
  <c r="Z344" i="2"/>
  <c r="V344" i="2"/>
  <c r="T344" i="2"/>
  <c r="N344" i="2"/>
  <c r="M344" i="2"/>
  <c r="AO64" i="2"/>
  <c r="AN64" i="2"/>
  <c r="AL64" i="2"/>
  <c r="AH64" i="2"/>
  <c r="AC64" i="2"/>
  <c r="AF64" i="2" s="1"/>
  <c r="AB64" i="2"/>
  <c r="Z64" i="2"/>
  <c r="V64" i="2"/>
  <c r="T64" i="2"/>
  <c r="N64" i="2"/>
  <c r="M64" i="2"/>
  <c r="AO343" i="2"/>
  <c r="AN343" i="2"/>
  <c r="AL343" i="2"/>
  <c r="AH343" i="2"/>
  <c r="AC343" i="2"/>
  <c r="AF343" i="2" s="1"/>
  <c r="AB343" i="2"/>
  <c r="Z343" i="2"/>
  <c r="V343" i="2"/>
  <c r="T343" i="2"/>
  <c r="N343" i="2"/>
  <c r="M343" i="2"/>
  <c r="AO342" i="2"/>
  <c r="AN342" i="2"/>
  <c r="AL342" i="2"/>
  <c r="AH342" i="2"/>
  <c r="AF342" i="2"/>
  <c r="AB342" i="2"/>
  <c r="V342" i="2"/>
  <c r="T342" i="2"/>
  <c r="N342" i="2"/>
  <c r="M342" i="2"/>
  <c r="AO341" i="2"/>
  <c r="AN341" i="2"/>
  <c r="AL341" i="2"/>
  <c r="AH341" i="2"/>
  <c r="AB341" i="2"/>
  <c r="V341" i="2"/>
  <c r="T341" i="2"/>
  <c r="N341" i="2"/>
  <c r="AO63" i="2"/>
  <c r="AN63" i="2"/>
  <c r="AL63" i="2"/>
  <c r="AH63" i="2"/>
  <c r="AF63" i="2"/>
  <c r="AB63" i="2"/>
  <c r="Y63" i="2"/>
  <c r="Z63" i="2" s="1"/>
  <c r="V63" i="2"/>
  <c r="T63" i="2"/>
  <c r="N63" i="2"/>
  <c r="M63" i="2"/>
  <c r="AO340" i="2"/>
  <c r="AN340" i="2"/>
  <c r="AL340" i="2"/>
  <c r="AH340" i="2"/>
  <c r="AF340" i="2"/>
  <c r="AB340" i="2"/>
  <c r="W340" i="2"/>
  <c r="Z340" i="2" s="1"/>
  <c r="V340" i="2"/>
  <c r="T340" i="2"/>
  <c r="M340" i="2"/>
  <c r="AO339" i="2"/>
  <c r="AN339" i="2"/>
  <c r="AL339" i="2"/>
  <c r="AH339" i="2"/>
  <c r="AF339" i="2"/>
  <c r="AB339" i="2"/>
  <c r="V339" i="2"/>
  <c r="T339" i="2"/>
  <c r="N339" i="2"/>
  <c r="M339" i="2"/>
  <c r="AO338" i="2"/>
  <c r="AN338" i="2"/>
  <c r="AL338" i="2"/>
  <c r="AH338" i="2"/>
  <c r="AF338" i="2"/>
  <c r="AB338" i="2"/>
  <c r="Z338" i="2"/>
  <c r="V338" i="2"/>
  <c r="R338" i="2"/>
  <c r="T338" i="2" s="1"/>
  <c r="N338" i="2"/>
  <c r="M338" i="2"/>
  <c r="AO337" i="2"/>
  <c r="AN337" i="2"/>
  <c r="AH337" i="2"/>
  <c r="AF337" i="2"/>
  <c r="AB337" i="2"/>
  <c r="Z337" i="2"/>
  <c r="V337" i="2"/>
  <c r="T337" i="2"/>
  <c r="AO336" i="2"/>
  <c r="AN336" i="2"/>
  <c r="AL336" i="2"/>
  <c r="AH336" i="2"/>
  <c r="AB336" i="2"/>
  <c r="Z336" i="2"/>
  <c r="V336" i="2"/>
  <c r="T336" i="2"/>
  <c r="N336" i="2"/>
  <c r="M336" i="2"/>
  <c r="AO335" i="2"/>
  <c r="AN335" i="2"/>
  <c r="AK335" i="2"/>
  <c r="AL335" i="2" s="1"/>
  <c r="AH335" i="2"/>
  <c r="AB335" i="2"/>
  <c r="Y335" i="2"/>
  <c r="Z335" i="2" s="1"/>
  <c r="V335" i="2"/>
  <c r="R335" i="2"/>
  <c r="T335" i="2" s="1"/>
  <c r="N335" i="2"/>
  <c r="M335" i="2"/>
  <c r="AO334" i="2"/>
  <c r="AN334" i="2"/>
  <c r="AH334" i="2"/>
  <c r="AB334" i="2"/>
  <c r="Y334" i="2"/>
  <c r="Z334" i="2" s="1"/>
  <c r="V334" i="2"/>
  <c r="T334" i="2"/>
  <c r="N334" i="2"/>
  <c r="M334" i="2"/>
  <c r="AO333" i="2"/>
  <c r="AN333" i="2"/>
  <c r="AH333" i="2"/>
  <c r="AF333" i="2"/>
  <c r="AB333" i="2"/>
  <c r="Z333" i="2"/>
  <c r="V333" i="2"/>
  <c r="T333" i="2"/>
  <c r="N333" i="2"/>
  <c r="M333" i="2"/>
  <c r="AO332" i="2"/>
  <c r="AN332" i="2"/>
  <c r="AH332" i="2"/>
  <c r="AF332" i="2"/>
  <c r="AB332" i="2"/>
  <c r="Z332" i="2"/>
  <c r="V332" i="2"/>
  <c r="T332" i="2"/>
  <c r="N332" i="2"/>
  <c r="M332" i="2"/>
  <c r="AO331" i="2"/>
  <c r="AN331" i="2"/>
  <c r="AK331" i="2"/>
  <c r="AL331" i="2" s="1"/>
  <c r="AI331" i="2"/>
  <c r="AH331" i="2"/>
  <c r="AF331" i="2"/>
  <c r="AB331" i="2"/>
  <c r="Y331" i="2"/>
  <c r="Z331" i="2" s="1"/>
  <c r="V331" i="2"/>
  <c r="R331" i="2"/>
  <c r="T331" i="2" s="1"/>
  <c r="N331" i="2"/>
  <c r="M331" i="2"/>
  <c r="AO330" i="2"/>
  <c r="AN330" i="2"/>
  <c r="AK330" i="2"/>
  <c r="AL330" i="2" s="1"/>
  <c r="AH330" i="2"/>
  <c r="AE330" i="2"/>
  <c r="AF330" i="2" s="1"/>
  <c r="AB330" i="2"/>
  <c r="V330" i="2"/>
  <c r="R330" i="2"/>
  <c r="T330" i="2" s="1"/>
  <c r="N330" i="2"/>
  <c r="M330" i="2"/>
  <c r="AO329" i="2"/>
  <c r="AN329" i="2"/>
  <c r="AK329" i="2"/>
  <c r="AL329" i="2" s="1"/>
  <c r="AH329" i="2"/>
  <c r="AF329" i="2"/>
  <c r="AB329" i="2"/>
  <c r="Y329" i="2"/>
  <c r="W329" i="2"/>
  <c r="V329" i="2"/>
  <c r="T329" i="2"/>
  <c r="N329" i="2"/>
  <c r="M329" i="2"/>
  <c r="AO328" i="2"/>
  <c r="AN328" i="2"/>
  <c r="AL328" i="2"/>
  <c r="AH328" i="2"/>
  <c r="AE328" i="2"/>
  <c r="AF328" i="2" s="1"/>
  <c r="AB328" i="2"/>
  <c r="Z328" i="2"/>
  <c r="Y328" i="2"/>
  <c r="V328" i="2"/>
  <c r="R328" i="2"/>
  <c r="T328" i="2" s="1"/>
  <c r="N328" i="2"/>
  <c r="M328" i="2"/>
  <c r="AO9" i="2"/>
  <c r="AN9" i="2"/>
  <c r="AL9" i="2"/>
  <c r="AH9" i="2"/>
  <c r="AF9" i="2"/>
  <c r="AB9" i="2"/>
  <c r="Z9" i="2"/>
  <c r="V9" i="2"/>
  <c r="T9" i="2"/>
  <c r="N9" i="2"/>
  <c r="M9" i="2"/>
  <c r="AO327" i="2"/>
  <c r="AN327" i="2"/>
  <c r="AH327" i="2"/>
  <c r="AF327" i="2"/>
  <c r="AB327" i="2"/>
  <c r="Z327" i="2"/>
  <c r="V327" i="2"/>
  <c r="T327" i="2"/>
  <c r="AO326" i="2"/>
  <c r="AN326" i="2"/>
  <c r="AH326" i="2"/>
  <c r="AB326" i="2"/>
  <c r="Z326" i="2"/>
  <c r="V326" i="2"/>
  <c r="T326" i="2"/>
  <c r="M326" i="2"/>
  <c r="AO325" i="2"/>
  <c r="AN325" i="2"/>
  <c r="AH325" i="2"/>
  <c r="AB325" i="2"/>
  <c r="Z325" i="2"/>
  <c r="V325" i="2"/>
  <c r="R325" i="2"/>
  <c r="T325" i="2" s="1"/>
  <c r="AO62" i="2"/>
  <c r="AN62" i="2"/>
  <c r="AL62" i="2"/>
  <c r="AH62" i="2"/>
  <c r="AF62" i="2"/>
  <c r="AB62" i="2"/>
  <c r="Z62" i="2"/>
  <c r="V62" i="2"/>
  <c r="R62" i="2"/>
  <c r="T62" i="2" s="1"/>
  <c r="N62" i="2"/>
  <c r="M62" i="2"/>
  <c r="AO324" i="2"/>
  <c r="AN324" i="2"/>
  <c r="AH324" i="2"/>
  <c r="AF324" i="2"/>
  <c r="AB324" i="2"/>
  <c r="W324" i="2"/>
  <c r="Z324" i="2" s="1"/>
  <c r="V324" i="2"/>
  <c r="T324" i="2"/>
  <c r="N324" i="2"/>
  <c r="M324" i="2"/>
  <c r="AO323" i="2"/>
  <c r="AN323" i="2"/>
  <c r="AE323" i="2"/>
  <c r="AF323" i="2" s="1"/>
  <c r="T323" i="2"/>
  <c r="S323" i="2"/>
  <c r="AH323" i="2" s="1"/>
  <c r="AO322" i="2"/>
  <c r="AN322" i="2"/>
  <c r="AH322" i="2"/>
  <c r="AB322" i="2"/>
  <c r="Z322" i="2"/>
  <c r="V322" i="2"/>
  <c r="R322" i="2"/>
  <c r="T322" i="2" s="1"/>
  <c r="AO321" i="2"/>
  <c r="AN321" i="2"/>
  <c r="AH321" i="2"/>
  <c r="AB321" i="2"/>
  <c r="V321" i="2"/>
  <c r="R321" i="2"/>
  <c r="T321" i="2" s="1"/>
  <c r="AO320" i="2"/>
  <c r="AN320" i="2"/>
  <c r="AH320" i="2"/>
  <c r="AF320" i="2"/>
  <c r="AB320" i="2"/>
  <c r="Y320" i="2"/>
  <c r="Z320" i="2" s="1"/>
  <c r="V320" i="2"/>
  <c r="T320" i="2"/>
  <c r="M320" i="2"/>
  <c r="AO319" i="2"/>
  <c r="AN319" i="2"/>
  <c r="AL319" i="2"/>
  <c r="AH319" i="2"/>
  <c r="AF319" i="2"/>
  <c r="AB319" i="2"/>
  <c r="Z319" i="2"/>
  <c r="V319" i="2"/>
  <c r="R319" i="2"/>
  <c r="T319" i="2" s="1"/>
  <c r="AO318" i="2"/>
  <c r="AN318" i="2"/>
  <c r="AL318" i="2"/>
  <c r="AH318" i="2"/>
  <c r="AF318" i="2"/>
  <c r="AB318" i="2"/>
  <c r="V318" i="2"/>
  <c r="T318" i="2"/>
  <c r="AO317" i="2"/>
  <c r="AN317" i="2"/>
  <c r="AH317" i="2"/>
  <c r="AB317" i="2"/>
  <c r="V317" i="2"/>
  <c r="R317" i="2"/>
  <c r="T317" i="2" s="1"/>
  <c r="AO316" i="2"/>
  <c r="AN316" i="2"/>
  <c r="AH316" i="2"/>
  <c r="AB316" i="2"/>
  <c r="V316" i="2"/>
  <c r="R316" i="2"/>
  <c r="T316" i="2" s="1"/>
  <c r="AO315" i="2"/>
  <c r="AN315" i="2"/>
  <c r="AH315" i="2"/>
  <c r="AF315" i="2"/>
  <c r="AB315" i="2"/>
  <c r="V315" i="2"/>
  <c r="T315" i="2"/>
  <c r="AO314" i="2"/>
  <c r="AN314" i="2"/>
  <c r="AL314" i="2"/>
  <c r="AH314" i="2"/>
  <c r="AF314" i="2"/>
  <c r="AB314" i="2"/>
  <c r="Y314" i="2"/>
  <c r="Z314" i="2" s="1"/>
  <c r="V314" i="2"/>
  <c r="R314" i="2"/>
  <c r="T314" i="2" s="1"/>
  <c r="N314" i="2"/>
  <c r="M314" i="2"/>
  <c r="AO313" i="2"/>
  <c r="AN313" i="2"/>
  <c r="AL313" i="2"/>
  <c r="AH313" i="2"/>
  <c r="AF313" i="2"/>
  <c r="AB313" i="2"/>
  <c r="Z313" i="2"/>
  <c r="V313" i="2"/>
  <c r="R313" i="2"/>
  <c r="T313" i="2" s="1"/>
  <c r="N313" i="2"/>
  <c r="M313" i="2"/>
  <c r="AO61" i="2"/>
  <c r="AN61" i="2"/>
  <c r="AL61" i="2"/>
  <c r="AH61" i="2"/>
  <c r="AF61" i="2"/>
  <c r="AB61" i="2"/>
  <c r="W61" i="2"/>
  <c r="Z61" i="2" s="1"/>
  <c r="V61" i="2"/>
  <c r="T61" i="2"/>
  <c r="N61" i="2"/>
  <c r="M61" i="2"/>
  <c r="AO312" i="2"/>
  <c r="AN312" i="2"/>
  <c r="AL312" i="2"/>
  <c r="AH312" i="2"/>
  <c r="AE312" i="2"/>
  <c r="AF312" i="2" s="1"/>
  <c r="AB312" i="2"/>
  <c r="Z312" i="2"/>
  <c r="V312" i="2"/>
  <c r="R312" i="2"/>
  <c r="T312" i="2" s="1"/>
  <c r="N312" i="2"/>
  <c r="M312" i="2"/>
  <c r="AO60" i="2"/>
  <c r="AN60" i="2"/>
  <c r="AL60" i="2"/>
  <c r="AH60" i="2"/>
  <c r="AF60" i="2"/>
  <c r="AB60" i="2"/>
  <c r="Z60" i="2"/>
  <c r="V60" i="2"/>
  <c r="R60" i="2"/>
  <c r="T60" i="2" s="1"/>
  <c r="N60" i="2"/>
  <c r="M60" i="2"/>
  <c r="AO59" i="2"/>
  <c r="AN59" i="2"/>
  <c r="AL59" i="2"/>
  <c r="AH59" i="2"/>
  <c r="AF59" i="2"/>
  <c r="AB59" i="2"/>
  <c r="Z59" i="2"/>
  <c r="V59" i="2"/>
  <c r="R59" i="2"/>
  <c r="T59" i="2" s="1"/>
  <c r="N59" i="2"/>
  <c r="M59" i="2"/>
  <c r="AO311" i="2"/>
  <c r="AN311" i="2"/>
  <c r="AH311" i="2"/>
  <c r="AF311" i="2"/>
  <c r="AB311" i="2"/>
  <c r="Z311" i="2"/>
  <c r="V311" i="2"/>
  <c r="R311" i="2"/>
  <c r="T311" i="2" s="1"/>
  <c r="N311" i="2"/>
  <c r="M311" i="2"/>
  <c r="AO310" i="2"/>
  <c r="AN310" i="2"/>
  <c r="AK310" i="2"/>
  <c r="AL310" i="2" s="1"/>
  <c r="AH310" i="2"/>
  <c r="AB310" i="2"/>
  <c r="Y310" i="2"/>
  <c r="Z310" i="2" s="1"/>
  <c r="W310" i="2"/>
  <c r="V310" i="2"/>
  <c r="T310" i="2"/>
  <c r="N310" i="2"/>
  <c r="M310" i="2"/>
  <c r="AO309" i="2"/>
  <c r="AN309" i="2"/>
  <c r="AL309" i="2"/>
  <c r="AH309" i="2"/>
  <c r="AB309" i="2"/>
  <c r="Z309" i="2"/>
  <c r="V309" i="2"/>
  <c r="R309" i="2"/>
  <c r="T309" i="2" s="1"/>
  <c r="N309" i="2"/>
  <c r="M309" i="2"/>
  <c r="AO308" i="2"/>
  <c r="AN308" i="2"/>
  <c r="AL308" i="2"/>
  <c r="AH308" i="2"/>
  <c r="AE308" i="2"/>
  <c r="AF308" i="2" s="1"/>
  <c r="AB308" i="2"/>
  <c r="V308" i="2"/>
  <c r="T308" i="2"/>
  <c r="N308" i="2"/>
  <c r="M308" i="2"/>
  <c r="AO58" i="2"/>
  <c r="AN58" i="2"/>
  <c r="AL58" i="2"/>
  <c r="AH58" i="2"/>
  <c r="AB58" i="2"/>
  <c r="Z58" i="2"/>
  <c r="V58" i="2"/>
  <c r="R58" i="2"/>
  <c r="T58" i="2" s="1"/>
  <c r="N58" i="2"/>
  <c r="M58" i="2"/>
  <c r="AO307" i="2"/>
  <c r="AN307" i="2"/>
  <c r="AH307" i="2"/>
  <c r="AB307" i="2"/>
  <c r="Z307" i="2"/>
  <c r="V307" i="2"/>
  <c r="R307" i="2"/>
  <c r="T307" i="2" s="1"/>
  <c r="N307" i="2"/>
  <c r="M307" i="2"/>
  <c r="AO306" i="2"/>
  <c r="AN306" i="2"/>
  <c r="AH306" i="2"/>
  <c r="AB306" i="2"/>
  <c r="Z306" i="2"/>
  <c r="V306" i="2"/>
  <c r="R306" i="2"/>
  <c r="T306" i="2" s="1"/>
  <c r="N306" i="2"/>
  <c r="M306" i="2"/>
  <c r="AO305" i="2"/>
  <c r="AN305" i="2"/>
  <c r="AH305" i="2"/>
  <c r="AF305" i="2"/>
  <c r="AB305" i="2"/>
  <c r="Z305" i="2"/>
  <c r="V305" i="2"/>
  <c r="R305" i="2"/>
  <c r="T305" i="2" s="1"/>
  <c r="N305" i="2"/>
  <c r="M305" i="2"/>
  <c r="AO57" i="2"/>
  <c r="AN57" i="2"/>
  <c r="AL57" i="2"/>
  <c r="AH57" i="2"/>
  <c r="AF57" i="2"/>
  <c r="AB57" i="2"/>
  <c r="Y57" i="2"/>
  <c r="Z57" i="2" s="1"/>
  <c r="V57" i="2"/>
  <c r="R57" i="2"/>
  <c r="T57" i="2" s="1"/>
  <c r="N57" i="2"/>
  <c r="M57" i="2"/>
  <c r="AO304" i="2"/>
  <c r="AN304" i="2"/>
  <c r="AL304" i="2"/>
  <c r="AH304" i="2"/>
  <c r="AF304" i="2"/>
  <c r="AB304" i="2"/>
  <c r="Z304" i="2"/>
  <c r="V304" i="2"/>
  <c r="T304" i="2"/>
  <c r="N304" i="2"/>
  <c r="M304" i="2"/>
  <c r="AO303" i="2"/>
  <c r="AN303" i="2"/>
  <c r="AL303" i="2"/>
  <c r="AH303" i="2"/>
  <c r="AF303" i="2"/>
  <c r="AB303" i="2"/>
  <c r="Z303" i="2"/>
  <c r="W303" i="2"/>
  <c r="V303" i="2"/>
  <c r="T303" i="2"/>
  <c r="N303" i="2"/>
  <c r="M303" i="2"/>
  <c r="AO302" i="2"/>
  <c r="AN302" i="2"/>
  <c r="AL302" i="2"/>
  <c r="AH302" i="2"/>
  <c r="AF302" i="2"/>
  <c r="AB302" i="2"/>
  <c r="Z302" i="2"/>
  <c r="V302" i="2"/>
  <c r="T302" i="2"/>
  <c r="R302" i="2"/>
  <c r="N302" i="2"/>
  <c r="M302" i="2"/>
  <c r="AO301" i="2"/>
  <c r="AN301" i="2"/>
  <c r="AL301" i="2"/>
  <c r="AH301" i="2"/>
  <c r="AF301" i="2"/>
  <c r="AB301" i="2"/>
  <c r="Z301" i="2"/>
  <c r="V301" i="2"/>
  <c r="T301" i="2"/>
  <c r="R301" i="2"/>
  <c r="N301" i="2"/>
  <c r="M301" i="2"/>
  <c r="AO300" i="2"/>
  <c r="AN300" i="2"/>
  <c r="AL300" i="2"/>
  <c r="AK300" i="2"/>
  <c r="AH300" i="2"/>
  <c r="AF300" i="2"/>
  <c r="AB300" i="2"/>
  <c r="Z300" i="2"/>
  <c r="V300" i="2"/>
  <c r="R300" i="2"/>
  <c r="T300" i="2" s="1"/>
  <c r="N300" i="2"/>
  <c r="M300" i="2"/>
  <c r="AO299" i="2"/>
  <c r="AN299" i="2"/>
  <c r="AL299" i="2"/>
  <c r="AH299" i="2"/>
  <c r="AB299" i="2"/>
  <c r="Z299" i="2"/>
  <c r="V299" i="2"/>
  <c r="T299" i="2"/>
  <c r="N299" i="2"/>
  <c r="AO298" i="2"/>
  <c r="AH298" i="2"/>
  <c r="S298" i="2"/>
  <c r="N298" i="2"/>
  <c r="M298" i="2"/>
  <c r="AO297" i="2"/>
  <c r="AB297" i="2"/>
  <c r="S297" i="2"/>
  <c r="AH297" i="2" s="1"/>
  <c r="N297" i="2"/>
  <c r="M297" i="2"/>
  <c r="AO296" i="2"/>
  <c r="AN296" i="2"/>
  <c r="AK296" i="2"/>
  <c r="AL296" i="2" s="1"/>
  <c r="AH296" i="2"/>
  <c r="AB296" i="2"/>
  <c r="Z296" i="2"/>
  <c r="V296" i="2"/>
  <c r="T296" i="2"/>
  <c r="N296" i="2"/>
  <c r="M296" i="2"/>
  <c r="AO295" i="2"/>
  <c r="AN295" i="2"/>
  <c r="AL295" i="2"/>
  <c r="AH295" i="2"/>
  <c r="AB295" i="2"/>
  <c r="V295" i="2"/>
  <c r="T295" i="2"/>
  <c r="N295" i="2"/>
  <c r="M295" i="2"/>
  <c r="AO294" i="2"/>
  <c r="AN294" i="2"/>
  <c r="AL294" i="2"/>
  <c r="AH294" i="2"/>
  <c r="AF294" i="2"/>
  <c r="AB294" i="2"/>
  <c r="Z294" i="2"/>
  <c r="V294" i="2"/>
  <c r="T294" i="2"/>
  <c r="N294" i="2"/>
  <c r="M294" i="2"/>
  <c r="AO293" i="2"/>
  <c r="AL293" i="2"/>
  <c r="S293" i="2"/>
  <c r="AH293" i="2" s="1"/>
  <c r="N293" i="2"/>
  <c r="M293" i="2"/>
  <c r="AO292" i="2"/>
  <c r="AN292" i="2"/>
  <c r="AL292" i="2"/>
  <c r="AH292" i="2"/>
  <c r="AF292" i="2"/>
  <c r="AB292" i="2"/>
  <c r="Z292" i="2"/>
  <c r="V292" i="2"/>
  <c r="T292" i="2"/>
  <c r="AO56" i="2"/>
  <c r="AN56" i="2"/>
  <c r="AL56" i="2"/>
  <c r="AH56" i="2"/>
  <c r="AF56" i="2"/>
  <c r="AE56" i="2"/>
  <c r="AB56" i="2"/>
  <c r="Z56" i="2"/>
  <c r="V56" i="2"/>
  <c r="T56" i="2"/>
  <c r="N56" i="2"/>
  <c r="M56" i="2"/>
  <c r="AO291" i="2"/>
  <c r="AL291" i="2"/>
  <c r="AF291" i="2"/>
  <c r="W291" i="2"/>
  <c r="Z291" i="2" s="1"/>
  <c r="S291" i="2"/>
  <c r="N291" i="2"/>
  <c r="M291" i="2"/>
  <c r="AO55" i="2"/>
  <c r="AN55" i="2"/>
  <c r="AL55" i="2"/>
  <c r="AH55" i="2"/>
  <c r="AF55" i="2"/>
  <c r="AB55" i="2"/>
  <c r="Z55" i="2"/>
  <c r="V55" i="2"/>
  <c r="R55" i="2"/>
  <c r="T55" i="2" s="1"/>
  <c r="N55" i="2"/>
  <c r="M55" i="2"/>
  <c r="AO290" i="2"/>
  <c r="AN290" i="2"/>
  <c r="AH290" i="2"/>
  <c r="AF290" i="2"/>
  <c r="AB290" i="2"/>
  <c r="V290" i="2"/>
  <c r="T290" i="2"/>
  <c r="AO289" i="2"/>
  <c r="AN289" i="2"/>
  <c r="AH289" i="2"/>
  <c r="AF289" i="2"/>
  <c r="AB289" i="2"/>
  <c r="Z289" i="2"/>
  <c r="V289" i="2"/>
  <c r="R289" i="2"/>
  <c r="T289" i="2" s="1"/>
  <c r="N289" i="2"/>
  <c r="M289" i="2"/>
  <c r="AO288" i="2"/>
  <c r="AN288" i="2"/>
  <c r="AK288" i="2"/>
  <c r="AL288" i="2" s="1"/>
  <c r="AH288" i="2"/>
  <c r="AF288" i="2"/>
  <c r="AE288" i="2"/>
  <c r="AB288" i="2"/>
  <c r="Y288" i="2"/>
  <c r="Z288" i="2" s="1"/>
  <c r="V288" i="2"/>
  <c r="R288" i="2"/>
  <c r="T288" i="2" s="1"/>
  <c r="N288" i="2"/>
  <c r="M288" i="2"/>
  <c r="AO287" i="2"/>
  <c r="AN287" i="2"/>
  <c r="AL287" i="2"/>
  <c r="AH287" i="2"/>
  <c r="AF287" i="2"/>
  <c r="AB287" i="2"/>
  <c r="V287" i="2"/>
  <c r="T287" i="2"/>
  <c r="N287" i="2"/>
  <c r="M287" i="2"/>
  <c r="AO54" i="2"/>
  <c r="AN54" i="2"/>
  <c r="AL54" i="2"/>
  <c r="AH54" i="2"/>
  <c r="AF54" i="2"/>
  <c r="AB54" i="2"/>
  <c r="W54" i="2"/>
  <c r="Z54" i="2" s="1"/>
  <c r="V54" i="2"/>
  <c r="T54" i="2"/>
  <c r="N54" i="2"/>
  <c r="M54" i="2"/>
  <c r="AO8" i="2"/>
  <c r="AN8" i="2"/>
  <c r="AH8" i="2"/>
  <c r="AF8" i="2"/>
  <c r="AB8" i="2"/>
  <c r="Y8" i="2"/>
  <c r="Z8" i="2" s="1"/>
  <c r="V8" i="2"/>
  <c r="T8" i="2"/>
  <c r="AO286" i="2"/>
  <c r="AN286" i="2"/>
  <c r="AL286" i="2"/>
  <c r="AH286" i="2"/>
  <c r="AF286" i="2"/>
  <c r="AB286" i="2"/>
  <c r="V286" i="2"/>
  <c r="T286" i="2"/>
  <c r="N286" i="2"/>
  <c r="M286" i="2"/>
  <c r="AO285" i="2"/>
  <c r="AN285" i="2"/>
  <c r="AL285" i="2"/>
  <c r="AH285" i="2"/>
  <c r="AB285" i="2"/>
  <c r="V285" i="2"/>
  <c r="T285" i="2"/>
  <c r="N285" i="2"/>
  <c r="M285" i="2"/>
  <c r="AO284" i="2"/>
  <c r="AN284" i="2"/>
  <c r="AL284" i="2"/>
  <c r="AH284" i="2"/>
  <c r="AB284" i="2"/>
  <c r="Z284" i="2"/>
  <c r="V284" i="2"/>
  <c r="R284" i="2"/>
  <c r="T284" i="2" s="1"/>
  <c r="N284" i="2"/>
  <c r="M284" i="2"/>
  <c r="AO283" i="2"/>
  <c r="AN283" i="2"/>
  <c r="AH283" i="2"/>
  <c r="AF283" i="2"/>
  <c r="AB283" i="2"/>
  <c r="Z283" i="2"/>
  <c r="V283" i="2"/>
  <c r="T283" i="2"/>
  <c r="N283" i="2"/>
  <c r="M283" i="2"/>
  <c r="AO282" i="2"/>
  <c r="AN282" i="2"/>
  <c r="AH282" i="2"/>
  <c r="AF282" i="2"/>
  <c r="AB282" i="2"/>
  <c r="V282" i="2"/>
  <c r="T282" i="2"/>
  <c r="N282" i="2"/>
  <c r="M282" i="2"/>
  <c r="AO281" i="2"/>
  <c r="AN281" i="2"/>
  <c r="AH281" i="2"/>
  <c r="AF281" i="2"/>
  <c r="AB281" i="2"/>
  <c r="V281" i="2"/>
  <c r="R281" i="2"/>
  <c r="T281" i="2" s="1"/>
  <c r="M281" i="2"/>
  <c r="AO280" i="2"/>
  <c r="AN280" i="2"/>
  <c r="AK280" i="2"/>
  <c r="AL280" i="2" s="1"/>
  <c r="AH280" i="2"/>
  <c r="AF280" i="2"/>
  <c r="AB280" i="2"/>
  <c r="Z280" i="2"/>
  <c r="Y280" i="2"/>
  <c r="V280" i="2"/>
  <c r="R280" i="2"/>
  <c r="T280" i="2" s="1"/>
  <c r="N280" i="2"/>
  <c r="M280" i="2"/>
  <c r="AO279" i="2"/>
  <c r="AN279" i="2"/>
  <c r="AL279" i="2"/>
  <c r="AH279" i="2"/>
  <c r="AF279" i="2"/>
  <c r="AB279" i="2"/>
  <c r="Z279" i="2"/>
  <c r="V279" i="2"/>
  <c r="R279" i="2"/>
  <c r="T279" i="2" s="1"/>
  <c r="N279" i="2"/>
  <c r="M279" i="2"/>
  <c r="AO278" i="2"/>
  <c r="AN278" i="2"/>
  <c r="AH278" i="2"/>
  <c r="AF278" i="2"/>
  <c r="AB278" i="2"/>
  <c r="Z278" i="2"/>
  <c r="V278" i="2"/>
  <c r="T278" i="2"/>
  <c r="R278" i="2"/>
  <c r="AO277" i="2"/>
  <c r="AN277" i="2"/>
  <c r="AL277" i="2"/>
  <c r="AH277" i="2"/>
  <c r="AF277" i="2"/>
  <c r="AB277" i="2"/>
  <c r="Z277" i="2"/>
  <c r="V277" i="2"/>
  <c r="T277" i="2"/>
  <c r="N277" i="2"/>
  <c r="M277" i="2"/>
  <c r="AO276" i="2"/>
  <c r="AN276" i="2"/>
  <c r="AL276" i="2"/>
  <c r="AH276" i="2"/>
  <c r="AB276" i="2"/>
  <c r="Z276" i="2"/>
  <c r="W276" i="2"/>
  <c r="V276" i="2"/>
  <c r="R276" i="2"/>
  <c r="T276" i="2" s="1"/>
  <c r="N276" i="2"/>
  <c r="M276" i="2"/>
  <c r="AO275" i="2"/>
  <c r="AN275" i="2"/>
  <c r="AL275" i="2"/>
  <c r="AH275" i="2"/>
  <c r="AE275" i="2"/>
  <c r="AF275" i="2" s="1"/>
  <c r="AB275" i="2"/>
  <c r="Z275" i="2"/>
  <c r="Y275" i="2"/>
  <c r="V275" i="2"/>
  <c r="R275" i="2"/>
  <c r="T275" i="2" s="1"/>
  <c r="N275" i="2"/>
  <c r="M275" i="2"/>
  <c r="AO274" i="2"/>
  <c r="AN274" i="2"/>
  <c r="AH274" i="2"/>
  <c r="AF274" i="2"/>
  <c r="AB274" i="2"/>
  <c r="V274" i="2"/>
  <c r="T274" i="2"/>
  <c r="N274" i="2"/>
  <c r="M274" i="2"/>
  <c r="AO273" i="2"/>
  <c r="AN273" i="2"/>
  <c r="AH273" i="2"/>
  <c r="AC273" i="2"/>
  <c r="AF273" i="2" s="1"/>
  <c r="AB273" i="2"/>
  <c r="Y273" i="2"/>
  <c r="W273" i="2"/>
  <c r="V273" i="2"/>
  <c r="T273" i="2"/>
  <c r="N273" i="2"/>
  <c r="M273" i="2"/>
  <c r="AO272" i="2"/>
  <c r="AN272" i="2"/>
  <c r="AH272" i="2"/>
  <c r="AC272" i="2"/>
  <c r="AF272" i="2" s="1"/>
  <c r="AB272" i="2"/>
  <c r="W272" i="2"/>
  <c r="Z272" i="2" s="1"/>
  <c r="V272" i="2"/>
  <c r="T272" i="2"/>
  <c r="N272" i="2"/>
  <c r="AO271" i="2"/>
  <c r="AN271" i="2"/>
  <c r="AH271" i="2"/>
  <c r="AC271" i="2"/>
  <c r="AF271" i="2" s="1"/>
  <c r="AB271" i="2"/>
  <c r="W271" i="2"/>
  <c r="Z271" i="2" s="1"/>
  <c r="V271" i="2"/>
  <c r="T271" i="2"/>
  <c r="N271" i="2"/>
  <c r="M271" i="2"/>
  <c r="AO270" i="2"/>
  <c r="AN270" i="2"/>
  <c r="AL270" i="2"/>
  <c r="AH270" i="2"/>
  <c r="AF270" i="2"/>
  <c r="AB270" i="2"/>
  <c r="Z270" i="2"/>
  <c r="V270" i="2"/>
  <c r="R270" i="2"/>
  <c r="T270" i="2" s="1"/>
  <c r="N270" i="2"/>
  <c r="M270" i="2"/>
  <c r="AO269" i="2"/>
  <c r="AN269" i="2"/>
  <c r="AL269" i="2"/>
  <c r="AH269" i="2"/>
  <c r="AB269" i="2"/>
  <c r="V269" i="2"/>
  <c r="T269" i="2"/>
  <c r="N269" i="2"/>
  <c r="M269" i="2"/>
  <c r="AO268" i="2"/>
  <c r="AN268" i="2"/>
  <c r="AL268" i="2"/>
  <c r="AH268" i="2"/>
  <c r="AE268" i="2"/>
  <c r="AF268" i="2" s="1"/>
  <c r="AB268" i="2"/>
  <c r="Z268" i="2"/>
  <c r="Y268" i="2"/>
  <c r="V268" i="2"/>
  <c r="R268" i="2"/>
  <c r="T268" i="2" s="1"/>
  <c r="N268" i="2"/>
  <c r="M268" i="2"/>
  <c r="AO267" i="2"/>
  <c r="AN267" i="2"/>
  <c r="AL267" i="2"/>
  <c r="AH267" i="2"/>
  <c r="AF267" i="2"/>
  <c r="AB267" i="2"/>
  <c r="Z267" i="2"/>
  <c r="V267" i="2"/>
  <c r="R267" i="2"/>
  <c r="T267" i="2" s="1"/>
  <c r="N267" i="2"/>
  <c r="M267" i="2"/>
  <c r="AO53" i="2"/>
  <c r="AN53" i="2"/>
  <c r="AL53" i="2"/>
  <c r="AH53" i="2"/>
  <c r="AF53" i="2"/>
  <c r="AB53" i="2"/>
  <c r="Z53" i="2"/>
  <c r="V53" i="2"/>
  <c r="R53" i="2"/>
  <c r="T53" i="2" s="1"/>
  <c r="N53" i="2"/>
  <c r="M53" i="2"/>
  <c r="AO266" i="2"/>
  <c r="AN266" i="2"/>
  <c r="AL266" i="2"/>
  <c r="AH266" i="2"/>
  <c r="AF266" i="2"/>
  <c r="AB266" i="2"/>
  <c r="Z266" i="2"/>
  <c r="V266" i="2"/>
  <c r="T266" i="2"/>
  <c r="N266" i="2"/>
  <c r="M266" i="2"/>
  <c r="AO52" i="2"/>
  <c r="AN52" i="2"/>
  <c r="AL52" i="2"/>
  <c r="AH52" i="2"/>
  <c r="AF52" i="2"/>
  <c r="AB52" i="2"/>
  <c r="Z52" i="2"/>
  <c r="V52" i="2"/>
  <c r="T52" i="2"/>
  <c r="N52" i="2"/>
  <c r="M52" i="2"/>
  <c r="AO51" i="2"/>
  <c r="AN51" i="2"/>
  <c r="AL51" i="2"/>
  <c r="AH51" i="2"/>
  <c r="AF51" i="2"/>
  <c r="AB51" i="2"/>
  <c r="Z51" i="2"/>
  <c r="V51" i="2"/>
  <c r="R51" i="2"/>
  <c r="T51" i="2" s="1"/>
  <c r="N51" i="2"/>
  <c r="M51" i="2"/>
  <c r="AO265" i="2"/>
  <c r="AN265" i="2"/>
  <c r="AL265" i="2"/>
  <c r="AH265" i="2"/>
  <c r="AB265" i="2"/>
  <c r="Z265" i="2"/>
  <c r="V265" i="2"/>
  <c r="T265" i="2"/>
  <c r="N265" i="2"/>
  <c r="M265" i="2"/>
  <c r="AO264" i="2"/>
  <c r="AN264" i="2"/>
  <c r="AL264" i="2"/>
  <c r="AH264" i="2"/>
  <c r="AB264" i="2"/>
  <c r="V264" i="2"/>
  <c r="T264" i="2"/>
  <c r="N264" i="2"/>
  <c r="M264" i="2"/>
  <c r="AO263" i="2"/>
  <c r="AL263" i="2"/>
  <c r="AB263" i="2"/>
  <c r="T263" i="2"/>
  <c r="S263" i="2"/>
  <c r="AH263" i="2" s="1"/>
  <c r="N263" i="2"/>
  <c r="M263" i="2"/>
  <c r="AO262" i="2"/>
  <c r="AN262" i="2"/>
  <c r="AL262" i="2"/>
  <c r="AH262" i="2"/>
  <c r="AB262" i="2"/>
  <c r="Z262" i="2"/>
  <c r="V262" i="2"/>
  <c r="T262" i="2"/>
  <c r="N262" i="2"/>
  <c r="M262" i="2"/>
  <c r="AO261" i="2"/>
  <c r="AN261" i="2"/>
  <c r="AH261" i="2"/>
  <c r="AB261" i="2"/>
  <c r="Z261" i="2"/>
  <c r="V261" i="2"/>
  <c r="T261" i="2"/>
  <c r="M261" i="2"/>
  <c r="AO260" i="2"/>
  <c r="AN260" i="2"/>
  <c r="AH260" i="2"/>
  <c r="AB260" i="2"/>
  <c r="Z260" i="2"/>
  <c r="V260" i="2"/>
  <c r="T260" i="2"/>
  <c r="R260" i="2"/>
  <c r="N260" i="2"/>
  <c r="M260" i="2"/>
  <c r="AO259" i="2"/>
  <c r="AN259" i="2"/>
  <c r="AH259" i="2"/>
  <c r="AB259" i="2"/>
  <c r="Z259" i="2"/>
  <c r="V259" i="2"/>
  <c r="R259" i="2"/>
  <c r="T259" i="2" s="1"/>
  <c r="AO258" i="2"/>
  <c r="AN258" i="2"/>
  <c r="AH258" i="2"/>
  <c r="AE258" i="2"/>
  <c r="AC258" i="2"/>
  <c r="AB258" i="2"/>
  <c r="Z258" i="2"/>
  <c r="V258" i="2"/>
  <c r="T258" i="2"/>
  <c r="N258" i="2"/>
  <c r="M258" i="2"/>
  <c r="AO257" i="2"/>
  <c r="AN257" i="2"/>
  <c r="AH257" i="2"/>
  <c r="AF257" i="2"/>
  <c r="AB257" i="2"/>
  <c r="Z257" i="2"/>
  <c r="V257" i="2"/>
  <c r="T257" i="2"/>
  <c r="AO256" i="2"/>
  <c r="AN256" i="2"/>
  <c r="AH256" i="2"/>
  <c r="AB256" i="2"/>
  <c r="Y256" i="2"/>
  <c r="Z256" i="2" s="1"/>
  <c r="W256" i="2"/>
  <c r="V256" i="2"/>
  <c r="T256" i="2"/>
  <c r="N256" i="2"/>
  <c r="M256" i="2"/>
  <c r="AO255" i="2"/>
  <c r="AN255" i="2"/>
  <c r="AH255" i="2"/>
  <c r="AB255" i="2"/>
  <c r="Z255" i="2"/>
  <c r="V255" i="2"/>
  <c r="T255" i="2"/>
  <c r="N255" i="2"/>
  <c r="M255" i="2"/>
  <c r="AO254" i="2"/>
  <c r="AN254" i="2"/>
  <c r="AH254" i="2"/>
  <c r="AB254" i="2"/>
  <c r="V254" i="2"/>
  <c r="R254" i="2"/>
  <c r="T254" i="2" s="1"/>
  <c r="N254" i="2"/>
  <c r="M254" i="2"/>
  <c r="AO253" i="2"/>
  <c r="AN253" i="2"/>
  <c r="AL253" i="2"/>
  <c r="AH253" i="2"/>
  <c r="AB253" i="2"/>
  <c r="V253" i="2"/>
  <c r="T253" i="2"/>
  <c r="N253" i="2"/>
  <c r="M253" i="2"/>
  <c r="AO252" i="2"/>
  <c r="AN252" i="2"/>
  <c r="AL252" i="2"/>
  <c r="AH252" i="2"/>
  <c r="AB252" i="2"/>
  <c r="V252" i="2"/>
  <c r="T252" i="2"/>
  <c r="M252" i="2"/>
  <c r="AO50" i="2"/>
  <c r="AN50" i="2"/>
  <c r="AL50" i="2"/>
  <c r="AH50" i="2"/>
  <c r="AF50" i="2"/>
  <c r="AE50" i="2"/>
  <c r="AB50" i="2"/>
  <c r="Y50" i="2"/>
  <c r="W50" i="2"/>
  <c r="V50" i="2"/>
  <c r="T50" i="2"/>
  <c r="N50" i="2"/>
  <c r="M50" i="2"/>
  <c r="AO49" i="2"/>
  <c r="AN49" i="2"/>
  <c r="AL49" i="2"/>
  <c r="AH49" i="2"/>
  <c r="AB49" i="2"/>
  <c r="Z49" i="2"/>
  <c r="W49" i="2"/>
  <c r="V49" i="2"/>
  <c r="T49" i="2"/>
  <c r="N49" i="2"/>
  <c r="M49" i="2"/>
  <c r="AO251" i="2"/>
  <c r="AN251" i="2"/>
  <c r="AH251" i="2"/>
  <c r="AB251" i="2"/>
  <c r="V251" i="2"/>
  <c r="R251" i="2"/>
  <c r="T251" i="2" s="1"/>
  <c r="AO250" i="2"/>
  <c r="AN250" i="2"/>
  <c r="AH250" i="2"/>
  <c r="AF250" i="2"/>
  <c r="AB250" i="2"/>
  <c r="T250" i="2"/>
  <c r="AO249" i="2"/>
  <c r="AN249" i="2"/>
  <c r="AH249" i="2"/>
  <c r="AF249" i="2"/>
  <c r="AB249" i="2"/>
  <c r="Y249" i="2"/>
  <c r="Z249" i="2" s="1"/>
  <c r="V249" i="2"/>
  <c r="T249" i="2"/>
  <c r="N249" i="2"/>
  <c r="M249" i="2"/>
  <c r="AO248" i="2"/>
  <c r="AN248" i="2"/>
  <c r="AH248" i="2"/>
  <c r="AF248" i="2"/>
  <c r="AB248" i="2"/>
  <c r="V248" i="2"/>
  <c r="R248" i="2"/>
  <c r="T248" i="2" s="1"/>
  <c r="N248" i="2"/>
  <c r="AO247" i="2"/>
  <c r="AN247" i="2"/>
  <c r="AL247" i="2"/>
  <c r="AH247" i="2"/>
  <c r="AC247" i="2"/>
  <c r="AF247" i="2" s="1"/>
  <c r="AB247" i="2"/>
  <c r="Z247" i="2"/>
  <c r="V247" i="2"/>
  <c r="T247" i="2"/>
  <c r="N247" i="2"/>
  <c r="M247" i="2"/>
  <c r="AO48" i="2"/>
  <c r="AN48" i="2"/>
  <c r="AK48" i="2"/>
  <c r="AL48" i="2" s="1"/>
  <c r="AH48" i="2"/>
  <c r="AF48" i="2"/>
  <c r="AB48" i="2"/>
  <c r="Y48" i="2"/>
  <c r="Z48" i="2" s="1"/>
  <c r="V48" i="2"/>
  <c r="T48" i="2"/>
  <c r="R48" i="2"/>
  <c r="N48" i="2"/>
  <c r="M48" i="2"/>
  <c r="AO246" i="2"/>
  <c r="AN246" i="2"/>
  <c r="AL246" i="2"/>
  <c r="AH246" i="2"/>
  <c r="AB246" i="2"/>
  <c r="V246" i="2"/>
  <c r="R246" i="2"/>
  <c r="T246" i="2" s="1"/>
  <c r="AO245" i="2"/>
  <c r="AN245" i="2"/>
  <c r="AL245" i="2"/>
  <c r="AH245" i="2"/>
  <c r="AF245" i="2"/>
  <c r="AB245" i="2"/>
  <c r="Z245" i="2"/>
  <c r="Y245" i="2"/>
  <c r="V245" i="2"/>
  <c r="T245" i="2"/>
  <c r="N245" i="2"/>
  <c r="M245" i="2"/>
  <c r="AO244" i="2"/>
  <c r="AL244" i="2"/>
  <c r="AF244" i="2"/>
  <c r="AC244" i="2"/>
  <c r="Z244" i="2"/>
  <c r="S244" i="2"/>
  <c r="V244" i="2" s="1"/>
  <c r="N244" i="2"/>
  <c r="M244" i="2"/>
  <c r="AO243" i="2"/>
  <c r="AN243" i="2"/>
  <c r="AL243" i="2"/>
  <c r="AH243" i="2"/>
  <c r="AB243" i="2"/>
  <c r="V243" i="2"/>
  <c r="T243" i="2"/>
  <c r="N243" i="2"/>
  <c r="M243" i="2"/>
  <c r="AO47" i="2"/>
  <c r="AN47" i="2"/>
  <c r="AL47" i="2"/>
  <c r="AH47" i="2"/>
  <c r="AB47" i="2"/>
  <c r="Z47" i="2"/>
  <c r="V47" i="2"/>
  <c r="T47" i="2"/>
  <c r="AO242" i="2"/>
  <c r="AN242" i="2"/>
  <c r="AL242" i="2"/>
  <c r="AH242" i="2"/>
  <c r="AF242" i="2"/>
  <c r="AB242" i="2"/>
  <c r="W242" i="2"/>
  <c r="Z242" i="2" s="1"/>
  <c r="V242" i="2"/>
  <c r="R242" i="2"/>
  <c r="T242" i="2" s="1"/>
  <c r="N242" i="2"/>
  <c r="M242" i="2"/>
  <c r="AO46" i="2"/>
  <c r="AN46" i="2"/>
  <c r="AL46" i="2"/>
  <c r="AH46" i="2"/>
  <c r="AF46" i="2"/>
  <c r="AB46" i="2"/>
  <c r="Y46" i="2"/>
  <c r="Z46" i="2" s="1"/>
  <c r="V46" i="2"/>
  <c r="R46" i="2"/>
  <c r="T46" i="2" s="1"/>
  <c r="N46" i="2"/>
  <c r="M46" i="2"/>
  <c r="AO45" i="2"/>
  <c r="AN45" i="2"/>
  <c r="AL45" i="2"/>
  <c r="AH45" i="2"/>
  <c r="AF45" i="2"/>
  <c r="AB45" i="2"/>
  <c r="Y45" i="2"/>
  <c r="Z45" i="2" s="1"/>
  <c r="V45" i="2"/>
  <c r="R45" i="2"/>
  <c r="T45" i="2" s="1"/>
  <c r="N45" i="2"/>
  <c r="M45" i="2"/>
  <c r="AO241" i="2"/>
  <c r="AN241" i="2"/>
  <c r="AL241" i="2"/>
  <c r="AH241" i="2"/>
  <c r="AF241" i="2"/>
  <c r="AB241" i="2"/>
  <c r="Z241" i="2"/>
  <c r="V241" i="2"/>
  <c r="R241" i="2"/>
  <c r="T241" i="2" s="1"/>
  <c r="N241" i="2"/>
  <c r="M241" i="2"/>
  <c r="AO240" i="2"/>
  <c r="AN240" i="2"/>
  <c r="AL240" i="2"/>
  <c r="AH240" i="2"/>
  <c r="AF240" i="2"/>
  <c r="AB240" i="2"/>
  <c r="Z240" i="2"/>
  <c r="V240" i="2"/>
  <c r="R240" i="2"/>
  <c r="T240" i="2" s="1"/>
  <c r="N240" i="2"/>
  <c r="M240" i="2"/>
  <c r="AO239" i="2"/>
  <c r="AN239" i="2"/>
  <c r="AL239" i="2"/>
  <c r="AH239" i="2"/>
  <c r="AF239" i="2"/>
  <c r="AB239" i="2"/>
  <c r="Z239" i="2"/>
  <c r="V239" i="2"/>
  <c r="R239" i="2"/>
  <c r="T239" i="2" s="1"/>
  <c r="AO44" i="2"/>
  <c r="AN44" i="2"/>
  <c r="AL44" i="2"/>
  <c r="AH44" i="2"/>
  <c r="AF44" i="2"/>
  <c r="AB44" i="2"/>
  <c r="Z44" i="2"/>
  <c r="V44" i="2"/>
  <c r="R44" i="2"/>
  <c r="T44" i="2" s="1"/>
  <c r="N44" i="2"/>
  <c r="M44" i="2"/>
  <c r="AO238" i="2"/>
  <c r="AN238" i="2"/>
  <c r="AL238" i="2"/>
  <c r="AH238" i="2"/>
  <c r="AF238" i="2"/>
  <c r="AB238" i="2"/>
  <c r="Z238" i="2"/>
  <c r="V238" i="2"/>
  <c r="T238" i="2"/>
  <c r="N238" i="2"/>
  <c r="M238" i="2"/>
  <c r="AO237" i="2"/>
  <c r="AN237" i="2"/>
  <c r="AL237" i="2"/>
  <c r="AH237" i="2"/>
  <c r="AF237" i="2"/>
  <c r="AB237" i="2"/>
  <c r="Z237" i="2"/>
  <c r="V237" i="2"/>
  <c r="T237" i="2"/>
  <c r="R237" i="2"/>
  <c r="N237" i="2"/>
  <c r="M237" i="2"/>
  <c r="AO43" i="2"/>
  <c r="AN43" i="2"/>
  <c r="AH43" i="2"/>
  <c r="AF43" i="2"/>
  <c r="AB43" i="2"/>
  <c r="Z43" i="2"/>
  <c r="V43" i="2"/>
  <c r="R43" i="2"/>
  <c r="T43" i="2" s="1"/>
  <c r="N43" i="2"/>
  <c r="M43" i="2"/>
  <c r="AO236" i="2"/>
  <c r="AN236" i="2"/>
  <c r="AH236" i="2"/>
  <c r="AB236" i="2"/>
  <c r="Z236" i="2"/>
  <c r="V236" i="2"/>
  <c r="R236" i="2"/>
  <c r="T236" i="2" s="1"/>
  <c r="M236" i="2"/>
  <c r="AO235" i="2"/>
  <c r="AK235" i="2"/>
  <c r="AL235" i="2" s="1"/>
  <c r="AH235" i="2"/>
  <c r="S235" i="2"/>
  <c r="N235" i="2"/>
  <c r="M235" i="2"/>
  <c r="AO234" i="2"/>
  <c r="AN234" i="2"/>
  <c r="AH234" i="2"/>
  <c r="AB234" i="2"/>
  <c r="V234" i="2"/>
  <c r="T234" i="2"/>
  <c r="AO233" i="2"/>
  <c r="AN233" i="2"/>
  <c r="AH233" i="2"/>
  <c r="AF233" i="2"/>
  <c r="AB233" i="2"/>
  <c r="V233" i="2"/>
  <c r="R233" i="2"/>
  <c r="T233" i="2" s="1"/>
  <c r="N233" i="2"/>
  <c r="M233" i="2"/>
  <c r="AO232" i="2"/>
  <c r="AN232" i="2"/>
  <c r="AH232" i="2"/>
  <c r="AE232" i="2"/>
  <c r="AF232" i="2" s="1"/>
  <c r="AB232" i="2"/>
  <c r="V232" i="2"/>
  <c r="R232" i="2"/>
  <c r="T232" i="2" s="1"/>
  <c r="AO42" i="2"/>
  <c r="AN42" i="2"/>
  <c r="AK42" i="2"/>
  <c r="AL42" i="2" s="1"/>
  <c r="AH42" i="2"/>
  <c r="AB42" i="2"/>
  <c r="Y42" i="2"/>
  <c r="W42" i="2"/>
  <c r="V42" i="2"/>
  <c r="R42" i="2"/>
  <c r="T42" i="2" s="1"/>
  <c r="N42" i="2"/>
  <c r="M42" i="2"/>
  <c r="AO231" i="2"/>
  <c r="AN231" i="2"/>
  <c r="AL231" i="2"/>
  <c r="AH231" i="2"/>
  <c r="AF231" i="2"/>
  <c r="AB231" i="2"/>
  <c r="V231" i="2"/>
  <c r="R231" i="2"/>
  <c r="T231" i="2" s="1"/>
  <c r="N231" i="2"/>
  <c r="AO230" i="2"/>
  <c r="AL230" i="2"/>
  <c r="AO229" i="2"/>
  <c r="AN229" i="2"/>
  <c r="AL229" i="2"/>
  <c r="AH229" i="2"/>
  <c r="AF229" i="2"/>
  <c r="AB229" i="2"/>
  <c r="Z229" i="2"/>
  <c r="V229" i="2"/>
  <c r="T229" i="2"/>
  <c r="N229" i="2"/>
  <c r="M229" i="2"/>
  <c r="AO41" i="2"/>
  <c r="AN41" i="2"/>
  <c r="AL41" i="2"/>
  <c r="AH41" i="2"/>
  <c r="AF41" i="2"/>
  <c r="AB41" i="2"/>
  <c r="Y41" i="2"/>
  <c r="W41" i="2"/>
  <c r="V41" i="2"/>
  <c r="R41" i="2"/>
  <c r="T41" i="2" s="1"/>
  <c r="N41" i="2"/>
  <c r="M41" i="2"/>
  <c r="AO228" i="2"/>
  <c r="AN228" i="2"/>
  <c r="AL228" i="2"/>
  <c r="AH228" i="2"/>
  <c r="AF228" i="2"/>
  <c r="AB228" i="2"/>
  <c r="Z228" i="2"/>
  <c r="V228" i="2"/>
  <c r="T228" i="2"/>
  <c r="N228" i="2"/>
  <c r="M228" i="2"/>
  <c r="AO227" i="2"/>
  <c r="AN227" i="2"/>
  <c r="AL227" i="2"/>
  <c r="AK227" i="2"/>
  <c r="AH227" i="2"/>
  <c r="AB227" i="2"/>
  <c r="Z227" i="2"/>
  <c r="Y227" i="2"/>
  <c r="V227" i="2"/>
  <c r="R227" i="2"/>
  <c r="T227" i="2" s="1"/>
  <c r="N227" i="2"/>
  <c r="M227" i="2"/>
  <c r="AO226" i="2"/>
  <c r="AN226" i="2"/>
  <c r="AL226" i="2"/>
  <c r="AH226" i="2"/>
  <c r="AB226" i="2"/>
  <c r="Z226" i="2"/>
  <c r="V226" i="2"/>
  <c r="T226" i="2"/>
  <c r="N226" i="2"/>
  <c r="M226" i="2"/>
  <c r="AO40" i="2"/>
  <c r="AN40" i="2"/>
  <c r="AK40" i="2"/>
  <c r="AL40" i="2" s="1"/>
  <c r="AH40" i="2"/>
  <c r="AB40" i="2"/>
  <c r="Y40" i="2"/>
  <c r="Z40" i="2" s="1"/>
  <c r="V40" i="2"/>
  <c r="T40" i="2"/>
  <c r="N40" i="2"/>
  <c r="M40" i="2"/>
  <c r="AO225" i="2"/>
  <c r="AN225" i="2"/>
  <c r="AH225" i="2"/>
  <c r="AB225" i="2"/>
  <c r="V225" i="2"/>
  <c r="R225" i="2"/>
  <c r="T225" i="2" s="1"/>
  <c r="N225" i="2"/>
  <c r="M225" i="2"/>
  <c r="AO224" i="2"/>
  <c r="AN224" i="2"/>
  <c r="AH224" i="2"/>
  <c r="AB224" i="2"/>
  <c r="V224" i="2"/>
  <c r="R224" i="2"/>
  <c r="T224" i="2" s="1"/>
  <c r="AO223" i="2"/>
  <c r="AN223" i="2"/>
  <c r="AL223" i="2"/>
  <c r="AH223" i="2"/>
  <c r="AF223" i="2"/>
  <c r="AB223" i="2"/>
  <c r="V223" i="2"/>
  <c r="T223" i="2"/>
  <c r="N223" i="2"/>
  <c r="M223" i="2"/>
  <c r="AO222" i="2"/>
  <c r="AN222" i="2"/>
  <c r="AL222" i="2"/>
  <c r="AH222" i="2"/>
  <c r="AB222" i="2"/>
  <c r="Z222" i="2"/>
  <c r="V222" i="2"/>
  <c r="T222" i="2"/>
  <c r="R222" i="2"/>
  <c r="N222" i="2"/>
  <c r="M222" i="2"/>
  <c r="AO221" i="2"/>
  <c r="AN221" i="2"/>
  <c r="AH221" i="2"/>
  <c r="AB221" i="2"/>
  <c r="Z221" i="2"/>
  <c r="V221" i="2"/>
  <c r="R221" i="2"/>
  <c r="T221" i="2" s="1"/>
  <c r="M221" i="2"/>
  <c r="AO220" i="2"/>
  <c r="AN220" i="2"/>
  <c r="AH220" i="2"/>
  <c r="AF220" i="2"/>
  <c r="AE220" i="2"/>
  <c r="AB220" i="2"/>
  <c r="Z220" i="2"/>
  <c r="Y220" i="2"/>
  <c r="V220" i="2"/>
  <c r="R220" i="2"/>
  <c r="T220" i="2" s="1"/>
  <c r="N220" i="2"/>
  <c r="M220" i="2"/>
  <c r="AO219" i="2"/>
  <c r="AN219" i="2"/>
  <c r="AL219" i="2"/>
  <c r="AH219" i="2"/>
  <c r="AF219" i="2"/>
  <c r="AB219" i="2"/>
  <c r="Z219" i="2"/>
  <c r="V219" i="2"/>
  <c r="R219" i="2"/>
  <c r="T219" i="2" s="1"/>
  <c r="N219" i="2"/>
  <c r="M219" i="2"/>
  <c r="AO218" i="2"/>
  <c r="AN218" i="2"/>
  <c r="AL218" i="2"/>
  <c r="AH218" i="2"/>
  <c r="AB218" i="2"/>
  <c r="Z218" i="2"/>
  <c r="V218" i="2"/>
  <c r="R218" i="2"/>
  <c r="T218" i="2" s="1"/>
  <c r="N218" i="2"/>
  <c r="M218" i="2"/>
  <c r="AO217" i="2"/>
  <c r="AN217" i="2"/>
  <c r="AL217" i="2"/>
  <c r="AH217" i="2"/>
  <c r="AF217" i="2"/>
  <c r="AB217" i="2"/>
  <c r="V217" i="2"/>
  <c r="R217" i="2"/>
  <c r="T217" i="2" s="1"/>
  <c r="N217" i="2"/>
  <c r="M217" i="2"/>
  <c r="AO216" i="2"/>
  <c r="AN216" i="2"/>
  <c r="AH216" i="2"/>
  <c r="AF216" i="2"/>
  <c r="AC216" i="2"/>
  <c r="AB216" i="2"/>
  <c r="Y216" i="2"/>
  <c r="Z216" i="2" s="1"/>
  <c r="V216" i="2"/>
  <c r="T216" i="2"/>
  <c r="N216" i="2"/>
  <c r="M216" i="2"/>
  <c r="AO215" i="2"/>
  <c r="AN215" i="2"/>
  <c r="AH215" i="2"/>
  <c r="AF215" i="2"/>
  <c r="AB215" i="2"/>
  <c r="Z215" i="2"/>
  <c r="V215" i="2"/>
  <c r="T215" i="2"/>
  <c r="N215" i="2"/>
  <c r="M215" i="2"/>
  <c r="AO214" i="2"/>
  <c r="AN214" i="2"/>
  <c r="AH214" i="2"/>
  <c r="AF214" i="2"/>
  <c r="AB214" i="2"/>
  <c r="Z214" i="2"/>
  <c r="V214" i="2"/>
  <c r="T214" i="2"/>
  <c r="AO213" i="2"/>
  <c r="AH213" i="2"/>
  <c r="AF213" i="2"/>
  <c r="W213" i="2"/>
  <c r="Z213" i="2" s="1"/>
  <c r="V213" i="2"/>
  <c r="S213" i="2"/>
  <c r="AN213" i="2" s="1"/>
  <c r="N213" i="2"/>
  <c r="M213" i="2"/>
  <c r="AO212" i="2"/>
  <c r="AN212" i="2"/>
  <c r="AL212" i="2"/>
  <c r="AH212" i="2"/>
  <c r="AB212" i="2"/>
  <c r="W212" i="2"/>
  <c r="Z212" i="2" s="1"/>
  <c r="V212" i="2"/>
  <c r="T212" i="2"/>
  <c r="N212" i="2"/>
  <c r="M212" i="2"/>
  <c r="AO39" i="2"/>
  <c r="AN39" i="2"/>
  <c r="AK39" i="2"/>
  <c r="AL39" i="2" s="1"/>
  <c r="AH39" i="2"/>
  <c r="AE39" i="2"/>
  <c r="AC39" i="2"/>
  <c r="AF39" i="2" s="1"/>
  <c r="AB39" i="2"/>
  <c r="Z39" i="2"/>
  <c r="V39" i="2"/>
  <c r="T39" i="2"/>
  <c r="N39" i="2"/>
  <c r="M39" i="2"/>
  <c r="AO211" i="2"/>
  <c r="AN211" i="2"/>
  <c r="AH211" i="2"/>
  <c r="AB211" i="2"/>
  <c r="V211" i="2"/>
  <c r="T211" i="2"/>
  <c r="AO210" i="2"/>
  <c r="AN210" i="2"/>
  <c r="AH210" i="2"/>
  <c r="AF210" i="2"/>
  <c r="AB210" i="2"/>
  <c r="V210" i="2"/>
  <c r="T210" i="2"/>
  <c r="N210" i="2"/>
  <c r="M210" i="2"/>
  <c r="AO209" i="2"/>
  <c r="AN209" i="2"/>
  <c r="AH209" i="2"/>
  <c r="AB209" i="2"/>
  <c r="V209" i="2"/>
  <c r="R209" i="2"/>
  <c r="T209" i="2" s="1"/>
  <c r="AO38" i="2"/>
  <c r="AN38" i="2"/>
  <c r="AL38" i="2"/>
  <c r="AH38" i="2"/>
  <c r="AF38" i="2"/>
  <c r="AB38" i="2"/>
  <c r="Z38" i="2"/>
  <c r="V38" i="2"/>
  <c r="T38" i="2"/>
  <c r="N38" i="2"/>
  <c r="M38" i="2"/>
  <c r="AO37" i="2"/>
  <c r="AN37" i="2"/>
  <c r="AH37" i="2"/>
  <c r="AF37" i="2"/>
  <c r="AB37" i="2"/>
  <c r="Z37" i="2"/>
  <c r="V37" i="2"/>
  <c r="R37" i="2"/>
  <c r="T37" i="2" s="1"/>
  <c r="N37" i="2"/>
  <c r="M37" i="2"/>
  <c r="AO208" i="2"/>
  <c r="AN208" i="2"/>
  <c r="AL208" i="2"/>
  <c r="AH208" i="2"/>
  <c r="AF208" i="2"/>
  <c r="AB208" i="2"/>
  <c r="Z208" i="2"/>
  <c r="V208" i="2"/>
  <c r="R208" i="2"/>
  <c r="T208" i="2" s="1"/>
  <c r="N208" i="2"/>
  <c r="M208" i="2"/>
  <c r="AO207" i="2"/>
  <c r="AN207" i="2"/>
  <c r="AH207" i="2"/>
  <c r="AF207" i="2"/>
  <c r="AB207" i="2"/>
  <c r="Z207" i="2"/>
  <c r="V207" i="2"/>
  <c r="R207" i="2"/>
  <c r="T207" i="2" s="1"/>
  <c r="N207" i="2"/>
  <c r="M207" i="2"/>
  <c r="AO206" i="2"/>
  <c r="AN206" i="2"/>
  <c r="AH206" i="2"/>
  <c r="AF206" i="2"/>
  <c r="AB206" i="2"/>
  <c r="Z206" i="2"/>
  <c r="V206" i="2"/>
  <c r="T206" i="2"/>
  <c r="N206" i="2"/>
  <c r="M206" i="2"/>
  <c r="AO205" i="2"/>
  <c r="AN205" i="2"/>
  <c r="AH205" i="2"/>
  <c r="AE205" i="2"/>
  <c r="AF205" i="2" s="1"/>
  <c r="AB205" i="2"/>
  <c r="V205" i="2"/>
  <c r="T205" i="2"/>
  <c r="M205" i="2"/>
  <c r="AO204" i="2"/>
  <c r="AN204" i="2"/>
  <c r="AH204" i="2"/>
  <c r="AF204" i="2"/>
  <c r="AB204" i="2"/>
  <c r="Z204" i="2"/>
  <c r="V204" i="2"/>
  <c r="R204" i="2"/>
  <c r="T204" i="2" s="1"/>
  <c r="N204" i="2"/>
  <c r="M204" i="2"/>
  <c r="AO203" i="2"/>
  <c r="AN203" i="2"/>
  <c r="AH203" i="2"/>
  <c r="AF203" i="2"/>
  <c r="AB203" i="2"/>
  <c r="Z203" i="2"/>
  <c r="V203" i="2"/>
  <c r="R203" i="2"/>
  <c r="T203" i="2" s="1"/>
  <c r="N203" i="2"/>
  <c r="M203" i="2"/>
  <c r="AO202" i="2"/>
  <c r="AN202" i="2"/>
  <c r="AH202" i="2"/>
  <c r="AF202" i="2"/>
  <c r="AB202" i="2"/>
  <c r="W202" i="2"/>
  <c r="Z202" i="2" s="1"/>
  <c r="V202" i="2"/>
  <c r="T202" i="2"/>
  <c r="N202" i="2"/>
  <c r="M202" i="2"/>
  <c r="AO201" i="2"/>
  <c r="AN201" i="2"/>
  <c r="AH201" i="2"/>
  <c r="AE201" i="2"/>
  <c r="AF201" i="2" s="1"/>
  <c r="AB201" i="2"/>
  <c r="Z201" i="2"/>
  <c r="V201" i="2"/>
  <c r="T201" i="2"/>
  <c r="R201" i="2"/>
  <c r="N201" i="2"/>
  <c r="M201" i="2"/>
  <c r="AO200" i="2"/>
  <c r="AN200" i="2"/>
  <c r="AL200" i="2"/>
  <c r="AH200" i="2"/>
  <c r="AF200" i="2"/>
  <c r="AB200" i="2"/>
  <c r="Z200" i="2"/>
  <c r="V200" i="2"/>
  <c r="T200" i="2"/>
  <c r="R200" i="2"/>
  <c r="N200" i="2"/>
  <c r="M200" i="2"/>
  <c r="AO36" i="2"/>
  <c r="AN36" i="2"/>
  <c r="AL36" i="2"/>
  <c r="AH36" i="2"/>
  <c r="AF36" i="2"/>
  <c r="AB36" i="2"/>
  <c r="Y36" i="2"/>
  <c r="Z36" i="2" s="1"/>
  <c r="V36" i="2"/>
  <c r="R36" i="2"/>
  <c r="T36" i="2" s="1"/>
  <c r="N36" i="2"/>
  <c r="M36" i="2"/>
  <c r="AO199" i="2"/>
  <c r="AN199" i="2"/>
  <c r="AL199" i="2"/>
  <c r="AH199" i="2"/>
  <c r="AF199" i="2"/>
  <c r="AB199" i="2"/>
  <c r="Y199" i="2"/>
  <c r="Z199" i="2" s="1"/>
  <c r="V199" i="2"/>
  <c r="R199" i="2"/>
  <c r="T199" i="2" s="1"/>
  <c r="N199" i="2"/>
  <c r="M199" i="2"/>
  <c r="AO35" i="2"/>
  <c r="AN35" i="2"/>
  <c r="AL35" i="2"/>
  <c r="AH35" i="2"/>
  <c r="AF35" i="2"/>
  <c r="AB35" i="2"/>
  <c r="Z35" i="2"/>
  <c r="V35" i="2"/>
  <c r="R35" i="2"/>
  <c r="T35" i="2" s="1"/>
  <c r="N35" i="2"/>
  <c r="M35" i="2"/>
  <c r="AO198" i="2"/>
  <c r="AN198" i="2"/>
  <c r="AL198" i="2"/>
  <c r="AH198" i="2"/>
  <c r="AF198" i="2"/>
  <c r="AB198" i="2"/>
  <c r="V198" i="2"/>
  <c r="R198" i="2"/>
  <c r="T198" i="2" s="1"/>
  <c r="N198" i="2"/>
  <c r="M198" i="2"/>
  <c r="AO34" i="2"/>
  <c r="AN34" i="2"/>
  <c r="AL34" i="2"/>
  <c r="AH34" i="2"/>
  <c r="AF34" i="2"/>
  <c r="AB34" i="2"/>
  <c r="W34" i="2"/>
  <c r="Z34" i="2" s="1"/>
  <c r="V34" i="2"/>
  <c r="T34" i="2"/>
  <c r="N34" i="2"/>
  <c r="M34" i="2"/>
  <c r="AO33" i="2"/>
  <c r="AN33" i="2"/>
  <c r="AL33" i="2"/>
  <c r="AH33" i="2"/>
  <c r="AB33" i="2"/>
  <c r="Y33" i="2"/>
  <c r="Z33" i="2" s="1"/>
  <c r="W33" i="2"/>
  <c r="V33" i="2"/>
  <c r="T33" i="2"/>
  <c r="N33" i="2"/>
  <c r="M33" i="2"/>
  <c r="AO197" i="2"/>
  <c r="AN197" i="2"/>
  <c r="AL197" i="2"/>
  <c r="AH197" i="2"/>
  <c r="AF197" i="2"/>
  <c r="AB197" i="2"/>
  <c r="Z197" i="2"/>
  <c r="W197" i="2"/>
  <c r="V197" i="2"/>
  <c r="T197" i="2"/>
  <c r="N197" i="2"/>
  <c r="M197" i="2"/>
  <c r="AO196" i="2"/>
  <c r="AN196" i="2"/>
  <c r="AL196" i="2"/>
  <c r="AH196" i="2"/>
  <c r="AE196" i="2"/>
  <c r="AF196" i="2" s="1"/>
  <c r="AB196" i="2"/>
  <c r="Z196" i="2"/>
  <c r="Y196" i="2"/>
  <c r="V196" i="2"/>
  <c r="R196" i="2"/>
  <c r="T196" i="2" s="1"/>
  <c r="N196" i="2"/>
  <c r="M196" i="2"/>
  <c r="AO195" i="2"/>
  <c r="AN195" i="2"/>
  <c r="AL195" i="2"/>
  <c r="AH195" i="2"/>
  <c r="AB195" i="2"/>
  <c r="V195" i="2"/>
  <c r="R195" i="2"/>
  <c r="T195" i="2" s="1"/>
  <c r="N195" i="2"/>
  <c r="M195" i="2"/>
  <c r="AO32" i="2"/>
  <c r="AN32" i="2"/>
  <c r="AL32" i="2"/>
  <c r="AH32" i="2"/>
  <c r="AF32" i="2"/>
  <c r="AB32" i="2"/>
  <c r="Z32" i="2"/>
  <c r="V32" i="2"/>
  <c r="R32" i="2"/>
  <c r="T32" i="2" s="1"/>
  <c r="N32" i="2"/>
  <c r="M32" i="2"/>
  <c r="AO194" i="2"/>
  <c r="AN194" i="2"/>
  <c r="AL194" i="2"/>
  <c r="AH194" i="2"/>
  <c r="AF194" i="2"/>
  <c r="AB194" i="2"/>
  <c r="Y194" i="2"/>
  <c r="Z194" i="2" s="1"/>
  <c r="V194" i="2"/>
  <c r="R194" i="2"/>
  <c r="T194" i="2" s="1"/>
  <c r="N194" i="2"/>
  <c r="M194" i="2"/>
  <c r="AO193" i="2"/>
  <c r="AN193" i="2"/>
  <c r="AL193" i="2"/>
  <c r="AH193" i="2"/>
  <c r="AF193" i="2"/>
  <c r="AB193" i="2"/>
  <c r="Z193" i="2"/>
  <c r="V193" i="2"/>
  <c r="R193" i="2"/>
  <c r="T193" i="2" s="1"/>
  <c r="N193" i="2"/>
  <c r="M193" i="2"/>
  <c r="AO192" i="2"/>
  <c r="AN192" i="2"/>
  <c r="AL192" i="2"/>
  <c r="AH192" i="2"/>
  <c r="AF192" i="2"/>
  <c r="AE192" i="2"/>
  <c r="AB192" i="2"/>
  <c r="Y192" i="2"/>
  <c r="Z192" i="2" s="1"/>
  <c r="V192" i="2"/>
  <c r="R192" i="2"/>
  <c r="T192" i="2" s="1"/>
  <c r="N192" i="2"/>
  <c r="M192" i="2"/>
  <c r="AO191" i="2"/>
  <c r="AN191" i="2"/>
  <c r="AH191" i="2"/>
  <c r="AF191" i="2"/>
  <c r="AC191" i="2"/>
  <c r="AB191" i="2"/>
  <c r="Z191" i="2"/>
  <c r="V191" i="2"/>
  <c r="T191" i="2"/>
  <c r="N191" i="2"/>
  <c r="M191" i="2"/>
  <c r="AO31" i="2"/>
  <c r="AN31" i="2"/>
  <c r="AL31" i="2"/>
  <c r="AH31" i="2"/>
  <c r="AF31" i="2"/>
  <c r="AE31" i="2"/>
  <c r="AB31" i="2"/>
  <c r="Z31" i="2"/>
  <c r="V31" i="2"/>
  <c r="R31" i="2"/>
  <c r="T31" i="2" s="1"/>
  <c r="N31" i="2"/>
  <c r="M31" i="2"/>
  <c r="AO190" i="2"/>
  <c r="AN190" i="2"/>
  <c r="AL190" i="2"/>
  <c r="AH190" i="2"/>
  <c r="AF190" i="2"/>
  <c r="AB190" i="2"/>
  <c r="Z190" i="2"/>
  <c r="V190" i="2"/>
  <c r="R190" i="2"/>
  <c r="T190" i="2" s="1"/>
  <c r="N190" i="2"/>
  <c r="M190" i="2"/>
  <c r="AO189" i="2"/>
  <c r="AN189" i="2"/>
  <c r="AH189" i="2"/>
  <c r="AF189" i="2"/>
  <c r="AE189" i="2"/>
  <c r="AB189" i="2"/>
  <c r="V189" i="2"/>
  <c r="T189" i="2"/>
  <c r="AO188" i="2"/>
  <c r="AN188" i="2"/>
  <c r="AH188" i="2"/>
  <c r="AF188" i="2"/>
  <c r="AB188" i="2"/>
  <c r="V188" i="2"/>
  <c r="R188" i="2"/>
  <c r="T188" i="2" s="1"/>
  <c r="AO187" i="2"/>
  <c r="AN187" i="2"/>
  <c r="AL187" i="2"/>
  <c r="AH187" i="2"/>
  <c r="AF187" i="2"/>
  <c r="AB187" i="2"/>
  <c r="Z187" i="2"/>
  <c r="V187" i="2"/>
  <c r="R187" i="2"/>
  <c r="T187" i="2" s="1"/>
  <c r="N187" i="2"/>
  <c r="M187" i="2"/>
  <c r="AO186" i="2"/>
  <c r="AN186" i="2"/>
  <c r="AL186" i="2"/>
  <c r="AH186" i="2"/>
  <c r="AB186" i="2"/>
  <c r="V186" i="2"/>
  <c r="T186" i="2"/>
  <c r="N186" i="2"/>
  <c r="M186" i="2"/>
  <c r="AO185" i="2"/>
  <c r="AN185" i="2"/>
  <c r="AL185" i="2"/>
  <c r="AH185" i="2"/>
  <c r="AF185" i="2"/>
  <c r="AB185" i="2"/>
  <c r="Z185" i="2"/>
  <c r="V185" i="2"/>
  <c r="R185" i="2"/>
  <c r="T185" i="2" s="1"/>
  <c r="N185" i="2"/>
  <c r="M185" i="2"/>
  <c r="AO184" i="2"/>
  <c r="AF184" i="2"/>
  <c r="S184" i="2"/>
  <c r="AB184" i="2" s="1"/>
  <c r="R184" i="2"/>
  <c r="T184" i="2" s="1"/>
  <c r="N184" i="2"/>
  <c r="AO183" i="2"/>
  <c r="AF183" i="2"/>
  <c r="S183" i="2"/>
  <c r="V183" i="2" s="1"/>
  <c r="R183" i="2"/>
  <c r="N183" i="2"/>
  <c r="M183" i="2"/>
  <c r="AO182" i="2"/>
  <c r="AN182" i="2"/>
  <c r="AH182" i="2"/>
  <c r="AE182" i="2"/>
  <c r="AF182" i="2" s="1"/>
  <c r="AB182" i="2"/>
  <c r="V182" i="2"/>
  <c r="R182" i="2"/>
  <c r="T182" i="2" s="1"/>
  <c r="N182" i="2"/>
  <c r="M182" i="2"/>
  <c r="AO181" i="2"/>
  <c r="AN181" i="2"/>
  <c r="AH181" i="2"/>
  <c r="AF181" i="2"/>
  <c r="AB181" i="2"/>
  <c r="V181" i="2"/>
  <c r="T181" i="2"/>
  <c r="N181" i="2"/>
  <c r="M181" i="2"/>
  <c r="AO180" i="2"/>
  <c r="AN180" i="2"/>
  <c r="AH180" i="2"/>
  <c r="AF180" i="2"/>
  <c r="AB180" i="2"/>
  <c r="Z180" i="2"/>
  <c r="V180" i="2"/>
  <c r="R180" i="2"/>
  <c r="T180" i="2" s="1"/>
  <c r="M180" i="2"/>
  <c r="AO30" i="2"/>
  <c r="AN30" i="2"/>
  <c r="AH30" i="2"/>
  <c r="AF30" i="2"/>
  <c r="AB30" i="2"/>
  <c r="Z30" i="2"/>
  <c r="V30" i="2"/>
  <c r="T30" i="2"/>
  <c r="N30" i="2"/>
  <c r="M30" i="2"/>
  <c r="AO179" i="2"/>
  <c r="AN179" i="2"/>
  <c r="AH179" i="2"/>
  <c r="AB179" i="2"/>
  <c r="Z179" i="2"/>
  <c r="V179" i="2"/>
  <c r="R179" i="2"/>
  <c r="T179" i="2" s="1"/>
  <c r="N179" i="2"/>
  <c r="M179" i="2"/>
  <c r="AO178" i="2"/>
  <c r="AN178" i="2"/>
  <c r="AL178" i="2"/>
  <c r="AH178" i="2"/>
  <c r="AB178" i="2"/>
  <c r="W178" i="2"/>
  <c r="Z178" i="2" s="1"/>
  <c r="V178" i="2"/>
  <c r="T178" i="2"/>
  <c r="R178" i="2"/>
  <c r="N178" i="2"/>
  <c r="M178" i="2"/>
  <c r="AO29" i="2"/>
  <c r="AN29" i="2"/>
  <c r="AL29" i="2"/>
  <c r="AH29" i="2"/>
  <c r="AF29" i="2"/>
  <c r="AB29" i="2"/>
  <c r="Z29" i="2"/>
  <c r="V29" i="2"/>
  <c r="T29" i="2"/>
  <c r="N29" i="2"/>
  <c r="M29" i="2"/>
  <c r="AO28" i="2"/>
  <c r="AN28" i="2"/>
  <c r="AL28" i="2"/>
  <c r="AH28" i="2"/>
  <c r="AF28" i="2"/>
  <c r="AB28" i="2"/>
  <c r="W28" i="2"/>
  <c r="Z28" i="2" s="1"/>
  <c r="V28" i="2"/>
  <c r="T28" i="2"/>
  <c r="N28" i="2"/>
  <c r="M28" i="2"/>
  <c r="AO177" i="2"/>
  <c r="AN177" i="2"/>
  <c r="AH177" i="2"/>
  <c r="AF177" i="2"/>
  <c r="AB177" i="2"/>
  <c r="V177" i="2"/>
  <c r="R177" i="2"/>
  <c r="T177" i="2" s="1"/>
  <c r="N177" i="2"/>
  <c r="M177" i="2"/>
  <c r="AO176" i="2"/>
  <c r="AN176" i="2"/>
  <c r="AH176" i="2"/>
  <c r="AF176" i="2"/>
  <c r="AB176" i="2"/>
  <c r="V176" i="2"/>
  <c r="R176" i="2"/>
  <c r="T176" i="2" s="1"/>
  <c r="AO175" i="2"/>
  <c r="AN175" i="2"/>
  <c r="AL175" i="2"/>
  <c r="AH175" i="2"/>
  <c r="AF175" i="2"/>
  <c r="AB175" i="2"/>
  <c r="Z175" i="2"/>
  <c r="V175" i="2"/>
  <c r="R175" i="2"/>
  <c r="T175" i="2" s="1"/>
  <c r="N175" i="2"/>
  <c r="M175" i="2"/>
  <c r="AO174" i="2"/>
  <c r="AN174" i="2"/>
  <c r="AL174" i="2"/>
  <c r="AH174" i="2"/>
  <c r="AF174" i="2"/>
  <c r="AB174" i="2"/>
  <c r="Z174" i="2"/>
  <c r="V174" i="2"/>
  <c r="R174" i="2"/>
  <c r="T174" i="2" s="1"/>
  <c r="N174" i="2"/>
  <c r="M174" i="2"/>
  <c r="AO173" i="2"/>
  <c r="AN173" i="2"/>
  <c r="AH173" i="2"/>
  <c r="AF173" i="2"/>
  <c r="AB173" i="2"/>
  <c r="Z173" i="2"/>
  <c r="V173" i="2"/>
  <c r="R173" i="2"/>
  <c r="T173" i="2" s="1"/>
  <c r="M173" i="2"/>
  <c r="AO172" i="2"/>
  <c r="AN172" i="2"/>
  <c r="AH172" i="2"/>
  <c r="AF172" i="2"/>
  <c r="AB172" i="2"/>
  <c r="Z172" i="2"/>
  <c r="V172" i="2"/>
  <c r="R172" i="2"/>
  <c r="T172" i="2" s="1"/>
  <c r="N172" i="2"/>
  <c r="M172" i="2"/>
  <c r="AO171" i="2"/>
  <c r="AN171" i="2"/>
  <c r="AH171" i="2"/>
  <c r="AB171" i="2"/>
  <c r="Z171" i="2"/>
  <c r="V171" i="2"/>
  <c r="R171" i="2"/>
  <c r="T171" i="2" s="1"/>
  <c r="N171" i="2"/>
  <c r="M171" i="2"/>
  <c r="AO170" i="2"/>
  <c r="AN170" i="2"/>
  <c r="AH170" i="2"/>
  <c r="AB170" i="2"/>
  <c r="Z170" i="2"/>
  <c r="V170" i="2"/>
  <c r="R170" i="2"/>
  <c r="T170" i="2" s="1"/>
  <c r="N170" i="2"/>
  <c r="M170" i="2"/>
  <c r="AO169" i="2"/>
  <c r="AN169" i="2"/>
  <c r="AH169" i="2"/>
  <c r="AB169" i="2"/>
  <c r="V169" i="2"/>
  <c r="T169" i="2"/>
  <c r="AO168" i="2"/>
  <c r="AN168" i="2"/>
  <c r="AL168" i="2"/>
  <c r="AH168" i="2"/>
  <c r="AF168" i="2"/>
  <c r="AC168" i="2"/>
  <c r="AB168" i="2"/>
  <c r="Z168" i="2"/>
  <c r="V168" i="2"/>
  <c r="T168" i="2"/>
  <c r="N168" i="2"/>
  <c r="M168" i="2"/>
  <c r="AO167" i="2"/>
  <c r="AN167" i="2"/>
  <c r="AL167" i="2"/>
  <c r="AH167" i="2"/>
  <c r="AF167" i="2"/>
  <c r="AE167" i="2"/>
  <c r="AB167" i="2"/>
  <c r="Z167" i="2"/>
  <c r="V167" i="2"/>
  <c r="T167" i="2"/>
  <c r="N167" i="2"/>
  <c r="M167" i="2"/>
  <c r="AO166" i="2"/>
  <c r="AN166" i="2"/>
  <c r="AL166" i="2"/>
  <c r="AH166" i="2"/>
  <c r="AB166" i="2"/>
  <c r="W166" i="2"/>
  <c r="Z166" i="2" s="1"/>
  <c r="V166" i="2"/>
  <c r="R166" i="2"/>
  <c r="T166" i="2" s="1"/>
  <c r="N166" i="2"/>
  <c r="M166" i="2"/>
  <c r="AO165" i="2"/>
  <c r="AN165" i="2"/>
  <c r="AL165" i="2"/>
  <c r="AH165" i="2"/>
  <c r="AB165" i="2"/>
  <c r="Z165" i="2"/>
  <c r="V165" i="2"/>
  <c r="R165" i="2"/>
  <c r="T165" i="2" s="1"/>
  <c r="N165" i="2"/>
  <c r="M165" i="2"/>
  <c r="AO164" i="2"/>
  <c r="AN164" i="2"/>
  <c r="AH164" i="2"/>
  <c r="AB164" i="2"/>
  <c r="Y164" i="2"/>
  <c r="Z164" i="2" s="1"/>
  <c r="V164" i="2"/>
  <c r="R164" i="2"/>
  <c r="T164" i="2" s="1"/>
  <c r="N164" i="2"/>
  <c r="M164" i="2"/>
  <c r="AO163" i="2"/>
  <c r="AN163" i="2"/>
  <c r="AH163" i="2"/>
  <c r="AE163" i="2"/>
  <c r="AF163" i="2" s="1"/>
  <c r="AB163" i="2"/>
  <c r="V163" i="2"/>
  <c r="R163" i="2"/>
  <c r="T163" i="2" s="1"/>
  <c r="N163" i="2"/>
  <c r="M163" i="2"/>
  <c r="AO162" i="2"/>
  <c r="AN162" i="2"/>
  <c r="AH162" i="2"/>
  <c r="AF162" i="2"/>
  <c r="AB162" i="2"/>
  <c r="V162" i="2"/>
  <c r="T162" i="2"/>
  <c r="N162" i="2"/>
  <c r="M162" i="2"/>
  <c r="AO161" i="2"/>
  <c r="AN161" i="2"/>
  <c r="AL161" i="2"/>
  <c r="AH161" i="2"/>
  <c r="AF161" i="2"/>
  <c r="AB161" i="2"/>
  <c r="Z161" i="2"/>
  <c r="V161" i="2"/>
  <c r="R161" i="2"/>
  <c r="T161" i="2" s="1"/>
  <c r="N161" i="2"/>
  <c r="M161" i="2"/>
  <c r="AO160" i="2"/>
  <c r="AN160" i="2"/>
  <c r="AL160" i="2"/>
  <c r="AH160" i="2"/>
  <c r="AF160" i="2"/>
  <c r="AB160" i="2"/>
  <c r="Z160" i="2"/>
  <c r="V160" i="2"/>
  <c r="R160" i="2"/>
  <c r="T160" i="2" s="1"/>
  <c r="M160" i="2"/>
  <c r="AO159" i="2"/>
  <c r="AN159" i="2"/>
  <c r="AL159" i="2"/>
  <c r="AH159" i="2"/>
  <c r="AB159" i="2"/>
  <c r="Z159" i="2"/>
  <c r="V159" i="2"/>
  <c r="T159" i="2"/>
  <c r="N159" i="2"/>
  <c r="M159" i="2"/>
  <c r="AO158" i="2"/>
  <c r="AN158" i="2"/>
  <c r="AL158" i="2"/>
  <c r="AH158" i="2"/>
  <c r="AF158" i="2"/>
  <c r="AB158" i="2"/>
  <c r="V158" i="2"/>
  <c r="T158" i="2"/>
  <c r="N158" i="2"/>
  <c r="M158" i="2"/>
  <c r="AO157" i="2"/>
  <c r="AN157" i="2"/>
  <c r="AL157" i="2"/>
  <c r="AH157" i="2"/>
  <c r="AF157" i="2"/>
  <c r="AB157" i="2"/>
  <c r="V157" i="2"/>
  <c r="R157" i="2"/>
  <c r="T157" i="2" s="1"/>
  <c r="N157" i="2"/>
  <c r="M157" i="2"/>
  <c r="AO156" i="2"/>
  <c r="AN156" i="2"/>
  <c r="AL156" i="2"/>
  <c r="AH156" i="2"/>
  <c r="AB156" i="2"/>
  <c r="Z156" i="2"/>
  <c r="V156" i="2"/>
  <c r="T156" i="2"/>
  <c r="N156" i="2"/>
  <c r="M156" i="2"/>
  <c r="AO155" i="2"/>
  <c r="AN155" i="2"/>
  <c r="AH155" i="2"/>
  <c r="AB155" i="2"/>
  <c r="V155" i="2"/>
  <c r="T155" i="2"/>
  <c r="R155" i="2"/>
  <c r="N155" i="2"/>
  <c r="M155" i="2"/>
  <c r="AO154" i="2"/>
  <c r="AN154" i="2"/>
  <c r="AH154" i="2"/>
  <c r="AB154" i="2"/>
  <c r="V154" i="2"/>
  <c r="T154" i="2"/>
  <c r="N154" i="2"/>
  <c r="M154" i="2"/>
  <c r="AO153" i="2"/>
  <c r="AN153" i="2"/>
  <c r="AH153" i="2"/>
  <c r="AB153" i="2"/>
  <c r="V153" i="2"/>
  <c r="R153" i="2"/>
  <c r="T153" i="2" s="1"/>
  <c r="N153" i="2"/>
  <c r="M153" i="2"/>
  <c r="AO152" i="2"/>
  <c r="AN152" i="2"/>
  <c r="AH152" i="2"/>
  <c r="AB152" i="2"/>
  <c r="V152" i="2"/>
  <c r="R152" i="2"/>
  <c r="T152" i="2" s="1"/>
  <c r="N152" i="2"/>
  <c r="AO151" i="2"/>
  <c r="AN151" i="2"/>
  <c r="AL151" i="2"/>
  <c r="AH151" i="2"/>
  <c r="AB151" i="2"/>
  <c r="Z151" i="2"/>
  <c r="V151" i="2"/>
  <c r="R151" i="2"/>
  <c r="T151" i="2" s="1"/>
  <c r="N151" i="2"/>
  <c r="M151" i="2"/>
  <c r="AO150" i="2"/>
  <c r="AN150" i="2"/>
  <c r="AL150" i="2"/>
  <c r="AH150" i="2"/>
  <c r="AF150" i="2"/>
  <c r="AB150" i="2"/>
  <c r="Z150" i="2"/>
  <c r="V150" i="2"/>
  <c r="R150" i="2"/>
  <c r="T150" i="2" s="1"/>
  <c r="N150" i="2"/>
  <c r="M150" i="2"/>
  <c r="AO149" i="2"/>
  <c r="AN149" i="2"/>
  <c r="AH149" i="2"/>
  <c r="AF149" i="2"/>
  <c r="AB149" i="2"/>
  <c r="V149" i="2"/>
  <c r="R149" i="2"/>
  <c r="T149" i="2" s="1"/>
  <c r="N149" i="2"/>
  <c r="M149" i="2"/>
  <c r="AO148" i="2"/>
  <c r="AN148" i="2"/>
  <c r="AL148" i="2"/>
  <c r="AH148" i="2"/>
  <c r="AF148" i="2"/>
  <c r="AB148" i="2"/>
  <c r="Z148" i="2"/>
  <c r="V148" i="2"/>
  <c r="R148" i="2"/>
  <c r="T148" i="2" s="1"/>
  <c r="N148" i="2"/>
  <c r="M148" i="2"/>
  <c r="AO147" i="2"/>
  <c r="AN147" i="2"/>
  <c r="AL147" i="2"/>
  <c r="AH147" i="2"/>
  <c r="AF147" i="2"/>
  <c r="AB147" i="2"/>
  <c r="W147" i="2"/>
  <c r="Z147" i="2" s="1"/>
  <c r="V147" i="2"/>
  <c r="T147" i="2"/>
  <c r="N147" i="2"/>
  <c r="M147" i="2"/>
  <c r="AO146" i="2"/>
  <c r="AN146" i="2"/>
  <c r="AH146" i="2"/>
  <c r="AF146" i="2"/>
  <c r="AB146" i="2"/>
  <c r="W146" i="2"/>
  <c r="Z146" i="2" s="1"/>
  <c r="V146" i="2"/>
  <c r="T146" i="2"/>
  <c r="N146" i="2"/>
  <c r="M146" i="2"/>
  <c r="AO145" i="2"/>
  <c r="AN145" i="2"/>
  <c r="AK145" i="2"/>
  <c r="AL145" i="2" s="1"/>
  <c r="AH145" i="2"/>
  <c r="AB145" i="2"/>
  <c r="Y145" i="2"/>
  <c r="Z145" i="2" s="1"/>
  <c r="V145" i="2"/>
  <c r="T145" i="2"/>
  <c r="R145" i="2"/>
  <c r="N145" i="2"/>
  <c r="M145" i="2"/>
  <c r="AO144" i="2"/>
  <c r="AN144" i="2"/>
  <c r="AL144" i="2"/>
  <c r="AH144" i="2"/>
  <c r="AE144" i="2"/>
  <c r="AC144" i="2"/>
  <c r="AB144" i="2"/>
  <c r="V144" i="2"/>
  <c r="T144" i="2"/>
  <c r="N144" i="2"/>
  <c r="M144" i="2"/>
  <c r="AO143" i="2"/>
  <c r="AN143" i="2"/>
  <c r="AH143" i="2"/>
  <c r="AF143" i="2"/>
  <c r="AB143" i="2"/>
  <c r="V143" i="2"/>
  <c r="R143" i="2"/>
  <c r="T143" i="2" s="1"/>
  <c r="N143" i="2"/>
  <c r="M143" i="2"/>
  <c r="AO27" i="2"/>
  <c r="AN27" i="2"/>
  <c r="AH27" i="2"/>
  <c r="AF27" i="2"/>
  <c r="AB27" i="2"/>
  <c r="Y27" i="2"/>
  <c r="Z27" i="2" s="1"/>
  <c r="V27" i="2"/>
  <c r="T27" i="2"/>
  <c r="R27" i="2"/>
  <c r="N27" i="2"/>
  <c r="M27" i="2"/>
  <c r="AO142" i="2"/>
  <c r="AN142" i="2"/>
  <c r="AH142" i="2"/>
  <c r="AF142" i="2"/>
  <c r="AB142" i="2"/>
  <c r="V142" i="2"/>
  <c r="R142" i="2"/>
  <c r="T142" i="2" s="1"/>
  <c r="N142" i="2"/>
  <c r="AO141" i="2"/>
  <c r="AN141" i="2"/>
  <c r="AH141" i="2"/>
  <c r="AB141" i="2"/>
  <c r="Z141" i="2"/>
  <c r="V141" i="2"/>
  <c r="T141" i="2"/>
  <c r="N141" i="2"/>
  <c r="M141" i="2"/>
  <c r="AO140" i="2"/>
  <c r="AN140" i="2"/>
  <c r="AH140" i="2"/>
  <c r="AF140" i="2"/>
  <c r="AB140" i="2"/>
  <c r="Z140" i="2"/>
  <c r="V140" i="2"/>
  <c r="T140" i="2"/>
  <c r="N140" i="2"/>
  <c r="M140" i="2"/>
  <c r="AO139" i="2"/>
  <c r="AN139" i="2"/>
  <c r="AH139" i="2"/>
  <c r="AF139" i="2"/>
  <c r="AB139" i="2"/>
  <c r="V139" i="2"/>
  <c r="T139" i="2"/>
  <c r="N139" i="2"/>
  <c r="M139" i="2"/>
  <c r="AO138" i="2"/>
  <c r="AN138" i="2"/>
  <c r="AH138" i="2"/>
  <c r="AF138" i="2"/>
  <c r="AB138" i="2"/>
  <c r="V138" i="2"/>
  <c r="R138" i="2"/>
  <c r="T138" i="2" s="1"/>
  <c r="N138" i="2"/>
  <c r="M138" i="2"/>
  <c r="AO137" i="2"/>
  <c r="AN137" i="2"/>
  <c r="AH137" i="2"/>
  <c r="AE137" i="2"/>
  <c r="AF137" i="2" s="1"/>
  <c r="AB137" i="2"/>
  <c r="V137" i="2"/>
  <c r="T137" i="2"/>
  <c r="AO136" i="2"/>
  <c r="AN136" i="2"/>
  <c r="AK136" i="2"/>
  <c r="AL136" i="2" s="1"/>
  <c r="AH136" i="2"/>
  <c r="AB136" i="2"/>
  <c r="Y136" i="2"/>
  <c r="W136" i="2"/>
  <c r="V136" i="2"/>
  <c r="T136" i="2"/>
  <c r="N136" i="2"/>
  <c r="M136" i="2"/>
  <c r="AO135" i="2"/>
  <c r="AN135" i="2"/>
  <c r="AH135" i="2"/>
  <c r="AF135" i="2"/>
  <c r="AB135" i="2"/>
  <c r="W135" i="2"/>
  <c r="Z135" i="2" s="1"/>
  <c r="V135" i="2"/>
  <c r="R135" i="2"/>
  <c r="T135" i="2" s="1"/>
  <c r="N135" i="2"/>
  <c r="M135" i="2"/>
  <c r="AO26" i="2"/>
  <c r="AN26" i="2"/>
  <c r="AH26" i="2"/>
  <c r="AF26" i="2"/>
  <c r="AB26" i="2"/>
  <c r="W26" i="2"/>
  <c r="Z26" i="2" s="1"/>
  <c r="V26" i="2"/>
  <c r="T26" i="2"/>
  <c r="N26" i="2"/>
  <c r="M26" i="2"/>
  <c r="AO134" i="2"/>
  <c r="AN134" i="2"/>
  <c r="AH134" i="2"/>
  <c r="AF134" i="2"/>
  <c r="AB134" i="2"/>
  <c r="Y134" i="2"/>
  <c r="Z134" i="2" s="1"/>
  <c r="V134" i="2"/>
  <c r="R134" i="2"/>
  <c r="T134" i="2" s="1"/>
  <c r="N134" i="2"/>
  <c r="AO133" i="2"/>
  <c r="AN133" i="2"/>
  <c r="AH133" i="2"/>
  <c r="AE133" i="2"/>
  <c r="AC133" i="2"/>
  <c r="AB133" i="2"/>
  <c r="Y133" i="2"/>
  <c r="Z133" i="2" s="1"/>
  <c r="V133" i="2"/>
  <c r="R133" i="2"/>
  <c r="T133" i="2" s="1"/>
  <c r="N133" i="2"/>
  <c r="M133" i="2"/>
  <c r="AO132" i="2"/>
  <c r="AN132" i="2"/>
  <c r="AL132" i="2"/>
  <c r="AH132" i="2"/>
  <c r="AF132" i="2"/>
  <c r="AB132" i="2"/>
  <c r="Z132" i="2"/>
  <c r="V132" i="2"/>
  <c r="T132" i="2"/>
  <c r="N132" i="2"/>
  <c r="M132" i="2"/>
  <c r="AO131" i="2"/>
  <c r="AN131" i="2"/>
  <c r="AL131" i="2"/>
  <c r="AH131" i="2"/>
  <c r="AF131" i="2"/>
  <c r="AB131" i="2"/>
  <c r="Z131" i="2"/>
  <c r="V131" i="2"/>
  <c r="R131" i="2"/>
  <c r="T131" i="2" s="1"/>
  <c r="N131" i="2"/>
  <c r="M131" i="2"/>
  <c r="AO130" i="2"/>
  <c r="AN130" i="2"/>
  <c r="AL130" i="2"/>
  <c r="AH130" i="2"/>
  <c r="AF130" i="2"/>
  <c r="AB130" i="2"/>
  <c r="Y130" i="2"/>
  <c r="Z130" i="2" s="1"/>
  <c r="V130" i="2"/>
  <c r="T130" i="2"/>
  <c r="R130" i="2"/>
  <c r="N130" i="2"/>
  <c r="M130" i="2"/>
  <c r="AO129" i="2"/>
  <c r="AN129" i="2"/>
  <c r="AL129" i="2"/>
  <c r="AH129" i="2"/>
  <c r="AB129" i="2"/>
  <c r="V129" i="2"/>
  <c r="R129" i="2"/>
  <c r="T129" i="2" s="1"/>
  <c r="N129" i="2"/>
  <c r="M129" i="2"/>
  <c r="AO128" i="2"/>
  <c r="AN128" i="2"/>
  <c r="AH128" i="2"/>
  <c r="AB128" i="2"/>
  <c r="V128" i="2"/>
  <c r="R128" i="2"/>
  <c r="T128" i="2" s="1"/>
  <c r="N128" i="2"/>
  <c r="M128" i="2"/>
  <c r="AO127" i="2"/>
  <c r="AN127" i="2"/>
  <c r="AH127" i="2"/>
  <c r="AB127" i="2"/>
  <c r="Z127" i="2"/>
  <c r="V127" i="2"/>
  <c r="R127" i="2"/>
  <c r="T127" i="2" s="1"/>
  <c r="N127" i="2"/>
  <c r="M127" i="2"/>
  <c r="AO126" i="2"/>
  <c r="AN126" i="2"/>
  <c r="AL126" i="2"/>
  <c r="AH126" i="2"/>
  <c r="AB126" i="2"/>
  <c r="Z126" i="2"/>
  <c r="V126" i="2"/>
  <c r="R126" i="2"/>
  <c r="T126" i="2" s="1"/>
  <c r="M126" i="2"/>
  <c r="AO125" i="2"/>
  <c r="AN125" i="2"/>
  <c r="AH125" i="2"/>
  <c r="AB125" i="2"/>
  <c r="Z125" i="2"/>
  <c r="V125" i="2"/>
  <c r="T125" i="2"/>
  <c r="N125" i="2"/>
  <c r="M125" i="2"/>
  <c r="AO124" i="2"/>
  <c r="AN124" i="2"/>
  <c r="AL124" i="2"/>
  <c r="AH124" i="2"/>
  <c r="AF124" i="2"/>
  <c r="AE124" i="2"/>
  <c r="AB124" i="2"/>
  <c r="Y124" i="2"/>
  <c r="Z124" i="2" s="1"/>
  <c r="V124" i="2"/>
  <c r="T124" i="2"/>
  <c r="N124" i="2"/>
  <c r="M124" i="2"/>
  <c r="AO123" i="2"/>
  <c r="AN123" i="2"/>
  <c r="AL123" i="2"/>
  <c r="AH123" i="2"/>
  <c r="AF123" i="2"/>
  <c r="AB123" i="2"/>
  <c r="Z123" i="2"/>
  <c r="V123" i="2"/>
  <c r="T123" i="2"/>
  <c r="N123" i="2"/>
  <c r="M123" i="2"/>
  <c r="AO122" i="2"/>
  <c r="AN122" i="2"/>
  <c r="AL122" i="2"/>
  <c r="AH122" i="2"/>
  <c r="AF122" i="2"/>
  <c r="AB122" i="2"/>
  <c r="Z122" i="2"/>
  <c r="V122" i="2"/>
  <c r="R122" i="2"/>
  <c r="T122" i="2" s="1"/>
  <c r="N122" i="2"/>
  <c r="M122" i="2"/>
  <c r="AO121" i="2"/>
  <c r="AN121" i="2"/>
  <c r="AK121" i="2"/>
  <c r="AL121" i="2" s="1"/>
  <c r="AH121" i="2"/>
  <c r="AF121" i="2"/>
  <c r="AB121" i="2"/>
  <c r="Y121" i="2"/>
  <c r="Z121" i="2" s="1"/>
  <c r="W121" i="2"/>
  <c r="V121" i="2"/>
  <c r="R121" i="2"/>
  <c r="T121" i="2" s="1"/>
  <c r="N121" i="2"/>
  <c r="M121" i="2"/>
  <c r="AO120" i="2"/>
  <c r="AN120" i="2"/>
  <c r="AL120" i="2"/>
  <c r="AH120" i="2"/>
  <c r="AF120" i="2"/>
  <c r="AB120" i="2"/>
  <c r="Y120" i="2"/>
  <c r="Z120" i="2" s="1"/>
  <c r="V120" i="2"/>
  <c r="T120" i="2"/>
  <c r="R120" i="2"/>
  <c r="N120" i="2"/>
  <c r="M120" i="2"/>
  <c r="AO25" i="2"/>
  <c r="AN25" i="2"/>
  <c r="AL25" i="2"/>
  <c r="AH25" i="2"/>
  <c r="AF25" i="2"/>
  <c r="AC25" i="2"/>
  <c r="AB25" i="2"/>
  <c r="Z25" i="2"/>
  <c r="V25" i="2"/>
  <c r="T25" i="2"/>
  <c r="N25" i="2"/>
  <c r="M25" i="2"/>
  <c r="AO119" i="2"/>
  <c r="AN119" i="2"/>
  <c r="AL119" i="2"/>
  <c r="AH119" i="2"/>
  <c r="AB119" i="2"/>
  <c r="Y119" i="2"/>
  <c r="Z119" i="2" s="1"/>
  <c r="V119" i="2"/>
  <c r="R119" i="2"/>
  <c r="T119" i="2" s="1"/>
  <c r="N119" i="2"/>
  <c r="M119" i="2"/>
  <c r="AO118" i="2"/>
  <c r="AN118" i="2"/>
  <c r="AL118" i="2"/>
  <c r="AH118" i="2"/>
  <c r="AB118" i="2"/>
  <c r="Z118" i="2"/>
  <c r="V118" i="2"/>
  <c r="R118" i="2"/>
  <c r="T118" i="2" s="1"/>
  <c r="M118" i="2"/>
  <c r="AO117" i="2"/>
  <c r="AN117" i="2"/>
  <c r="AL117" i="2"/>
  <c r="AH117" i="2"/>
  <c r="AF117" i="2"/>
  <c r="AB117" i="2"/>
  <c r="Z117" i="2"/>
  <c r="Y117" i="2"/>
  <c r="V117" i="2"/>
  <c r="R117" i="2"/>
  <c r="T117" i="2" s="1"/>
  <c r="N117" i="2"/>
  <c r="M117" i="2"/>
  <c r="AO116" i="2"/>
  <c r="AN116" i="2"/>
  <c r="AK116" i="2"/>
  <c r="AL116" i="2" s="1"/>
  <c r="AH116" i="2"/>
  <c r="AF116" i="2"/>
  <c r="AB116" i="2"/>
  <c r="Z116" i="2"/>
  <c r="Y116" i="2"/>
  <c r="V116" i="2"/>
  <c r="R116" i="2"/>
  <c r="T116" i="2" s="1"/>
  <c r="N116" i="2"/>
  <c r="M116" i="2"/>
  <c r="AO24" i="2"/>
  <c r="AN24" i="2"/>
  <c r="AL24" i="2"/>
  <c r="AH24" i="2"/>
  <c r="AF24" i="2"/>
  <c r="AB24" i="2"/>
  <c r="W24" i="2"/>
  <c r="Z24" i="2" s="1"/>
  <c r="V24" i="2"/>
  <c r="R24" i="2"/>
  <c r="T24" i="2" s="1"/>
  <c r="N24" i="2"/>
  <c r="M24" i="2"/>
  <c r="AO115" i="2"/>
  <c r="AN115" i="2"/>
  <c r="AL115" i="2"/>
  <c r="AH115" i="2"/>
  <c r="AF115" i="2"/>
  <c r="AB115" i="2"/>
  <c r="Z115" i="2"/>
  <c r="V115" i="2"/>
  <c r="R115" i="2"/>
  <c r="T115" i="2" s="1"/>
  <c r="N115" i="2"/>
  <c r="M115" i="2"/>
  <c r="AO114" i="2"/>
  <c r="AN114" i="2"/>
  <c r="AL114" i="2"/>
  <c r="AH114" i="2"/>
  <c r="AF114" i="2"/>
  <c r="AB114" i="2"/>
  <c r="V114" i="2"/>
  <c r="R114" i="2"/>
  <c r="T114" i="2" s="1"/>
  <c r="N114" i="2"/>
  <c r="M114" i="2"/>
  <c r="AO23" i="2"/>
  <c r="AN23" i="2"/>
  <c r="AL23" i="2"/>
  <c r="AH23" i="2"/>
  <c r="AF23" i="2"/>
  <c r="AB23" i="2"/>
  <c r="Z23" i="2"/>
  <c r="V23" i="2"/>
  <c r="R23" i="2"/>
  <c r="T23" i="2" s="1"/>
  <c r="N23" i="2"/>
  <c r="M23" i="2"/>
  <c r="AO113" i="2"/>
  <c r="AN113" i="2"/>
  <c r="AL113" i="2"/>
  <c r="AH113" i="2"/>
  <c r="AB113" i="2"/>
  <c r="Z113" i="2"/>
  <c r="V113" i="2"/>
  <c r="T113" i="2"/>
  <c r="N113" i="2"/>
  <c r="M113" i="2"/>
  <c r="AO112" i="2"/>
  <c r="AN112" i="2"/>
  <c r="AL112" i="2"/>
  <c r="AH112" i="2"/>
  <c r="AF112" i="2"/>
  <c r="AB112" i="2"/>
  <c r="Z112" i="2"/>
  <c r="V112" i="2"/>
  <c r="R112" i="2"/>
  <c r="T112" i="2" s="1"/>
  <c r="N112" i="2"/>
  <c r="M112" i="2"/>
  <c r="AO111" i="2"/>
  <c r="AN111" i="2"/>
  <c r="AL111" i="2"/>
  <c r="AH111" i="2"/>
  <c r="AF111" i="2"/>
  <c r="AB111" i="2"/>
  <c r="Z111" i="2"/>
  <c r="V111" i="2"/>
  <c r="R111" i="2"/>
  <c r="T111" i="2" s="1"/>
  <c r="N111" i="2"/>
  <c r="AO110" i="2"/>
  <c r="AN110" i="2"/>
  <c r="AL110" i="2"/>
  <c r="AH110" i="2"/>
  <c r="AF110" i="2"/>
  <c r="AB110" i="2"/>
  <c r="Z110" i="2"/>
  <c r="V110" i="2"/>
  <c r="T110" i="2"/>
  <c r="N110" i="2"/>
  <c r="M110" i="2"/>
  <c r="AO109" i="2"/>
  <c r="AN109" i="2"/>
  <c r="AL109" i="2"/>
  <c r="AH109" i="2"/>
  <c r="AE109" i="2"/>
  <c r="AF109" i="2" s="1"/>
  <c r="AB109" i="2"/>
  <c r="V109" i="2"/>
  <c r="T109" i="2"/>
  <c r="N109" i="2"/>
  <c r="M109" i="2"/>
  <c r="AO108" i="2"/>
  <c r="AN108" i="2"/>
  <c r="AL108" i="2"/>
  <c r="AH108" i="2"/>
  <c r="AF108" i="2"/>
  <c r="AB108" i="2"/>
  <c r="Z108" i="2"/>
  <c r="V108" i="2"/>
  <c r="T108" i="2"/>
  <c r="N108" i="2"/>
  <c r="M108" i="2"/>
  <c r="AO107" i="2"/>
  <c r="AN107" i="2"/>
  <c r="AL107" i="2"/>
  <c r="AH107" i="2"/>
  <c r="AF107" i="2"/>
  <c r="AB107" i="2"/>
  <c r="V107" i="2"/>
  <c r="T107" i="2"/>
  <c r="N107" i="2"/>
  <c r="M107" i="2"/>
  <c r="AO106" i="2"/>
  <c r="AN106" i="2"/>
  <c r="AL106" i="2"/>
  <c r="AH106" i="2"/>
  <c r="AE106" i="2"/>
  <c r="AF106" i="2" s="1"/>
  <c r="AB106" i="2"/>
  <c r="V106" i="2"/>
  <c r="R106" i="2"/>
  <c r="T106" i="2" s="1"/>
  <c r="N106" i="2"/>
  <c r="M106" i="2"/>
  <c r="AO22" i="2"/>
  <c r="AN22" i="2"/>
  <c r="AL22" i="2"/>
  <c r="AH22" i="2"/>
  <c r="AC22" i="2"/>
  <c r="AF22" i="2" s="1"/>
  <c r="AB22" i="2"/>
  <c r="Z22" i="2"/>
  <c r="W22" i="2"/>
  <c r="V22" i="2"/>
  <c r="T22" i="2"/>
  <c r="N22" i="2"/>
  <c r="M22" i="2"/>
  <c r="AO21" i="2"/>
  <c r="AN21" i="2"/>
  <c r="AL21" i="2"/>
  <c r="AH21" i="2"/>
  <c r="AF21" i="2"/>
  <c r="AB21" i="2"/>
  <c r="Z21" i="2"/>
  <c r="V21" i="2"/>
  <c r="R21" i="2"/>
  <c r="T21" i="2" s="1"/>
  <c r="N21" i="2"/>
  <c r="M21" i="2"/>
  <c r="AO20" i="2"/>
  <c r="AN20" i="2"/>
  <c r="AH20" i="2"/>
  <c r="AF20" i="2"/>
  <c r="AB20" i="2"/>
  <c r="Z20" i="2"/>
  <c r="V20" i="2"/>
  <c r="T20" i="2"/>
  <c r="N20" i="2"/>
  <c r="M20" i="2"/>
  <c r="AO19" i="2"/>
  <c r="AN19" i="2"/>
  <c r="AH19" i="2"/>
  <c r="AE19" i="2"/>
  <c r="AF19" i="2" s="1"/>
  <c r="AB19" i="2"/>
  <c r="Z19" i="2"/>
  <c r="V19" i="2"/>
  <c r="R19" i="2"/>
  <c r="T19" i="2" s="1"/>
  <c r="N19" i="2"/>
  <c r="M19" i="2"/>
  <c r="AO105" i="2"/>
  <c r="AN105" i="2"/>
  <c r="AH105" i="2"/>
  <c r="AB105" i="2"/>
  <c r="Z105" i="2"/>
  <c r="V105" i="2"/>
  <c r="T105" i="2"/>
  <c r="N105" i="2"/>
  <c r="M105" i="2"/>
  <c r="AO104" i="2"/>
  <c r="AN104" i="2"/>
  <c r="AH104" i="2"/>
  <c r="AB104" i="2"/>
  <c r="Z104" i="2"/>
  <c r="V104" i="2"/>
  <c r="R104" i="2"/>
  <c r="T104" i="2" s="1"/>
  <c r="N104" i="2"/>
  <c r="M104" i="2"/>
  <c r="AO103" i="2"/>
  <c r="AN103" i="2"/>
  <c r="AH103" i="2"/>
  <c r="AB103" i="2"/>
  <c r="V103" i="2"/>
  <c r="R103" i="2"/>
  <c r="T103" i="2" s="1"/>
  <c r="N103" i="2"/>
  <c r="M103" i="2"/>
  <c r="AO102" i="2"/>
  <c r="AN102" i="2"/>
  <c r="AL102" i="2"/>
  <c r="AH102" i="2"/>
  <c r="AB102" i="2"/>
  <c r="Z102" i="2"/>
  <c r="V102" i="2"/>
  <c r="R102" i="2"/>
  <c r="T102" i="2" s="1"/>
  <c r="N102" i="2"/>
  <c r="M102" i="2"/>
  <c r="AO101" i="2"/>
  <c r="AN101" i="2"/>
  <c r="AL101" i="2"/>
  <c r="AH101" i="2"/>
  <c r="AF101" i="2"/>
  <c r="AB101" i="2"/>
  <c r="W101" i="2"/>
  <c r="Z101" i="2" s="1"/>
  <c r="V101" i="2"/>
  <c r="T101" i="2"/>
  <c r="N101" i="2"/>
  <c r="M101" i="2"/>
  <c r="AO100" i="2"/>
  <c r="AN100" i="2"/>
  <c r="AL100" i="2"/>
  <c r="AH100" i="2"/>
  <c r="AE100" i="2"/>
  <c r="AF100" i="2" s="1"/>
  <c r="AB100" i="2"/>
  <c r="V100" i="2"/>
  <c r="T100" i="2"/>
  <c r="N100" i="2"/>
  <c r="M100" i="2"/>
  <c r="AO99" i="2"/>
  <c r="AN99" i="2"/>
  <c r="AL99" i="2"/>
  <c r="AH99" i="2"/>
  <c r="AB99" i="2"/>
  <c r="V99" i="2"/>
  <c r="R99" i="2"/>
  <c r="T99" i="2" s="1"/>
  <c r="N99" i="2"/>
  <c r="M99" i="2"/>
  <c r="AO98" i="2"/>
  <c r="AN98" i="2"/>
  <c r="AL98" i="2"/>
  <c r="AH98" i="2"/>
  <c r="AB98" i="2"/>
  <c r="Z98" i="2"/>
  <c r="V98" i="2"/>
  <c r="R98" i="2"/>
  <c r="T98" i="2" s="1"/>
  <c r="N98" i="2"/>
  <c r="M98" i="2"/>
  <c r="AO18" i="2"/>
  <c r="AN18" i="2"/>
  <c r="AL18" i="2"/>
  <c r="AH18" i="2"/>
  <c r="AF18" i="2"/>
  <c r="AB18" i="2"/>
  <c r="Z18" i="2"/>
  <c r="V18" i="2"/>
  <c r="T18" i="2"/>
  <c r="N18" i="2"/>
  <c r="M18" i="2"/>
  <c r="AO17" i="2"/>
  <c r="AN17" i="2"/>
  <c r="AH17" i="2"/>
  <c r="AF17" i="2"/>
  <c r="AB17" i="2"/>
  <c r="Z17" i="2"/>
  <c r="V17" i="2"/>
  <c r="R17" i="2"/>
  <c r="T17" i="2" s="1"/>
  <c r="N17" i="2"/>
  <c r="M17" i="2"/>
  <c r="AO97" i="2"/>
  <c r="AN97" i="2"/>
  <c r="AK97" i="2"/>
  <c r="AL97" i="2" s="1"/>
  <c r="AH97" i="2"/>
  <c r="AB97" i="2"/>
  <c r="Y97" i="2"/>
  <c r="W97" i="2"/>
  <c r="V97" i="2"/>
  <c r="T97" i="2"/>
  <c r="N97" i="2"/>
  <c r="M97" i="2"/>
  <c r="AO96" i="2"/>
  <c r="AN96" i="2"/>
  <c r="AL96" i="2"/>
  <c r="AH96" i="2"/>
  <c r="AB96" i="2"/>
  <c r="Y96" i="2"/>
  <c r="Z96" i="2" s="1"/>
  <c r="W96" i="2"/>
  <c r="V96" i="2"/>
  <c r="R96" i="2"/>
  <c r="T96" i="2" s="1"/>
  <c r="N96" i="2"/>
  <c r="M96" i="2"/>
  <c r="AO95" i="2"/>
  <c r="AN95" i="2"/>
  <c r="AH95" i="2"/>
  <c r="AC95" i="2"/>
  <c r="AF95" i="2" s="1"/>
  <c r="AB95" i="2"/>
  <c r="Z95" i="2"/>
  <c r="V95" i="2"/>
  <c r="R95" i="2"/>
  <c r="T95" i="2" s="1"/>
  <c r="N95" i="2"/>
  <c r="M95" i="2"/>
  <c r="AO16" i="2"/>
  <c r="AN16" i="2"/>
  <c r="AH16" i="2"/>
  <c r="AB16" i="2"/>
  <c r="Z16" i="2"/>
  <c r="V16" i="2"/>
  <c r="R16" i="2"/>
  <c r="T16" i="2" s="1"/>
  <c r="N16" i="2"/>
  <c r="M16" i="2"/>
  <c r="AO15" i="2"/>
  <c r="AN15" i="2"/>
  <c r="AL15" i="2"/>
  <c r="AH15" i="2"/>
  <c r="AF15" i="2"/>
  <c r="AB15" i="2"/>
  <c r="Z15" i="2"/>
  <c r="V15" i="2"/>
  <c r="R15" i="2"/>
  <c r="T15" i="2" s="1"/>
  <c r="N15" i="2"/>
  <c r="M15" i="2"/>
  <c r="AO94" i="2"/>
  <c r="AN94" i="2"/>
  <c r="AL94" i="2"/>
  <c r="AH94" i="2"/>
  <c r="AF94" i="2"/>
  <c r="AB94" i="2"/>
  <c r="V94" i="2"/>
  <c r="T94" i="2"/>
  <c r="R94" i="2"/>
  <c r="N94" i="2"/>
  <c r="M94" i="2"/>
  <c r="AO93" i="2"/>
  <c r="AN93" i="2"/>
  <c r="AL93" i="2"/>
  <c r="AH93" i="2"/>
  <c r="AF93" i="2"/>
  <c r="AB93" i="2"/>
  <c r="Z93" i="2"/>
  <c r="V93" i="2"/>
  <c r="T93" i="2"/>
  <c r="R93" i="2"/>
  <c r="N93" i="2"/>
  <c r="M93" i="2"/>
  <c r="AO92" i="2"/>
  <c r="AN92" i="2"/>
  <c r="AL92" i="2"/>
  <c r="AH92" i="2"/>
  <c r="AF92" i="2"/>
  <c r="AB92" i="2"/>
  <c r="Z92" i="2"/>
  <c r="V92" i="2"/>
  <c r="T92" i="2"/>
  <c r="R92" i="2"/>
  <c r="N92" i="2"/>
  <c r="M92" i="2"/>
  <c r="AO91" i="2"/>
  <c r="AN91" i="2"/>
  <c r="AL91" i="2"/>
  <c r="AH91" i="2"/>
  <c r="AF91" i="2"/>
  <c r="AB91" i="2"/>
  <c r="Z91" i="2"/>
  <c r="V91" i="2"/>
  <c r="T91" i="2"/>
  <c r="R91" i="2"/>
  <c r="N91" i="2"/>
  <c r="M91" i="2"/>
  <c r="AO90" i="2"/>
  <c r="AN90" i="2"/>
  <c r="AH90" i="2"/>
  <c r="AF90" i="2"/>
  <c r="AB90" i="2"/>
  <c r="V90" i="2"/>
  <c r="T90" i="2"/>
  <c r="N90" i="2"/>
  <c r="M90" i="2"/>
  <c r="AO89" i="2"/>
  <c r="AN89" i="2"/>
  <c r="AH89" i="2"/>
  <c r="AF89" i="2"/>
  <c r="AB89" i="2"/>
  <c r="V89" i="2"/>
  <c r="R89" i="2"/>
  <c r="T89" i="2" s="1"/>
  <c r="N89" i="2"/>
  <c r="M89" i="2"/>
  <c r="AO88" i="2"/>
  <c r="AN88" i="2"/>
  <c r="AL88" i="2"/>
  <c r="AH88" i="2"/>
  <c r="AF88" i="2"/>
  <c r="AB88" i="2"/>
  <c r="Z88" i="2"/>
  <c r="V88" i="2"/>
  <c r="R88" i="2"/>
  <c r="T88" i="2" s="1"/>
  <c r="N88" i="2"/>
  <c r="M88" i="2"/>
  <c r="AO87" i="2"/>
  <c r="AN87" i="2"/>
  <c r="AL87" i="2"/>
  <c r="AH87" i="2"/>
  <c r="AB87" i="2"/>
  <c r="Z87" i="2"/>
  <c r="V87" i="2"/>
  <c r="T87" i="2"/>
  <c r="R87" i="2"/>
  <c r="N87" i="2"/>
  <c r="M87" i="2"/>
  <c r="AO86" i="2"/>
  <c r="AN86" i="2"/>
  <c r="AL86" i="2"/>
  <c r="AH86" i="2"/>
  <c r="AB86" i="2"/>
  <c r="Z86" i="2"/>
  <c r="V86" i="2"/>
  <c r="T86" i="2"/>
  <c r="N86" i="2"/>
  <c r="M86" i="2"/>
  <c r="AO85" i="2"/>
  <c r="AN85" i="2"/>
  <c r="AK85" i="2"/>
  <c r="AI85" i="2"/>
  <c r="AH85" i="2"/>
  <c r="AE85" i="2"/>
  <c r="AC85" i="2"/>
  <c r="AF85" i="2" s="1"/>
  <c r="AB85" i="2"/>
  <c r="Y85" i="2"/>
  <c r="W85" i="2"/>
  <c r="V85" i="2"/>
  <c r="T85" i="2"/>
  <c r="N85" i="2"/>
  <c r="M85" i="2"/>
  <c r="AO84" i="2"/>
  <c r="AN84" i="2"/>
  <c r="AH84" i="2"/>
  <c r="AB84" i="2"/>
  <c r="V84" i="2"/>
  <c r="T84" i="2"/>
  <c r="N84" i="2"/>
  <c r="M84" i="2"/>
  <c r="AO83" i="2"/>
  <c r="AN83" i="2"/>
  <c r="AH83" i="2"/>
  <c r="AB83" i="2"/>
  <c r="W83" i="2"/>
  <c r="Z83" i="2" s="1"/>
  <c r="V83" i="2"/>
  <c r="R83" i="2"/>
  <c r="T83" i="2" s="1"/>
  <c r="N83" i="2"/>
  <c r="M83" i="2"/>
  <c r="AO82" i="2"/>
  <c r="AN82" i="2"/>
  <c r="AH82" i="2"/>
  <c r="AB82" i="2"/>
  <c r="V82" i="2"/>
  <c r="R82" i="2"/>
  <c r="T82" i="2" s="1"/>
  <c r="N82" i="2"/>
  <c r="M82" i="2"/>
  <c r="AO81" i="2"/>
  <c r="AN81" i="2"/>
  <c r="AL81" i="2"/>
  <c r="AH81" i="2"/>
  <c r="AB81" i="2"/>
  <c r="Z81" i="2"/>
  <c r="V81" i="2"/>
  <c r="R81" i="2"/>
  <c r="T81" i="2" s="1"/>
  <c r="N81" i="2"/>
  <c r="M81" i="2"/>
  <c r="AO80" i="2"/>
  <c r="AN80" i="2"/>
  <c r="AL80" i="2"/>
  <c r="AH80" i="2"/>
  <c r="AE80" i="2"/>
  <c r="AF80" i="2" s="1"/>
  <c r="AB80" i="2"/>
  <c r="Y80" i="2"/>
  <c r="Z80" i="2" s="1"/>
  <c r="V80" i="2"/>
  <c r="T80" i="2"/>
  <c r="R80" i="2"/>
  <c r="N80" i="2"/>
  <c r="M80" i="2"/>
  <c r="AO79" i="2"/>
  <c r="AN79" i="2"/>
  <c r="AL79" i="2"/>
  <c r="AH79" i="2"/>
  <c r="AF79" i="2"/>
  <c r="AB79" i="2"/>
  <c r="Z79" i="2"/>
  <c r="V79" i="2"/>
  <c r="T79" i="2"/>
  <c r="R79" i="2"/>
  <c r="N79" i="2"/>
  <c r="M79" i="2"/>
  <c r="AO78" i="2"/>
  <c r="AN78" i="2"/>
  <c r="AL78" i="2"/>
  <c r="AI78" i="2"/>
  <c r="AH78" i="2"/>
  <c r="AC78" i="2"/>
  <c r="AF78" i="2" s="1"/>
  <c r="AB78" i="2"/>
  <c r="Z78" i="2"/>
  <c r="W78" i="2"/>
  <c r="V78" i="2"/>
  <c r="R78" i="2"/>
  <c r="T78" i="2" s="1"/>
  <c r="N78" i="2"/>
  <c r="M78" i="2"/>
  <c r="AO77" i="2"/>
  <c r="AN77" i="2"/>
  <c r="AL77" i="2"/>
  <c r="AH77" i="2"/>
  <c r="AF77" i="2"/>
  <c r="AB77" i="2"/>
  <c r="Z77" i="2"/>
  <c r="V77" i="2"/>
  <c r="T77" i="2"/>
  <c r="N77" i="2"/>
  <c r="M77" i="2"/>
  <c r="AO76" i="2"/>
  <c r="AN76" i="2"/>
  <c r="AL76" i="2"/>
  <c r="AI76" i="2"/>
  <c r="AH76" i="2"/>
  <c r="AF76" i="2"/>
  <c r="AB76" i="2"/>
  <c r="W76" i="2"/>
  <c r="Z76" i="2" s="1"/>
  <c r="V76" i="2"/>
  <c r="R76" i="2"/>
  <c r="T76" i="2" s="1"/>
  <c r="N76" i="2"/>
  <c r="M76" i="2"/>
  <c r="AO75" i="2"/>
  <c r="AN75" i="2"/>
  <c r="AI75" i="2"/>
  <c r="AL75" i="2" s="1"/>
  <c r="AH75" i="2"/>
  <c r="AC75" i="2"/>
  <c r="AF75" i="2" s="1"/>
  <c r="AB75" i="2"/>
  <c r="Z75" i="2"/>
  <c r="W75" i="2"/>
  <c r="V75" i="2"/>
  <c r="R75" i="2"/>
  <c r="T75" i="2" s="1"/>
  <c r="N75" i="2"/>
  <c r="M75" i="2"/>
  <c r="AB183" i="2" l="1"/>
  <c r="AB213" i="2"/>
  <c r="Z85" i="2"/>
  <c r="AF133" i="2"/>
  <c r="Z136" i="2"/>
  <c r="AN184" i="2"/>
  <c r="T213" i="2"/>
  <c r="Z41" i="2"/>
  <c r="T297" i="2"/>
  <c r="Z329" i="2"/>
  <c r="AL85" i="2"/>
  <c r="Z97" i="2"/>
  <c r="AF144" i="2"/>
  <c r="V184" i="2"/>
  <c r="Z42" i="2"/>
  <c r="Z50" i="2"/>
  <c r="AF258" i="2"/>
  <c r="V263" i="2"/>
  <c r="Z273" i="2"/>
  <c r="AN297" i="2"/>
  <c r="AB323" i="2"/>
  <c r="AF376" i="2"/>
  <c r="Z406" i="2"/>
  <c r="AL441" i="2"/>
  <c r="AN235" i="2"/>
  <c r="AB235" i="2"/>
  <c r="T244" i="2"/>
  <c r="V293" i="2"/>
  <c r="AF417" i="2"/>
  <c r="T235" i="2"/>
  <c r="AH291" i="2"/>
  <c r="AN291" i="2"/>
  <c r="AB291" i="2"/>
  <c r="T291" i="2"/>
  <c r="AB298" i="2"/>
  <c r="AN298" i="2"/>
  <c r="T298" i="2"/>
  <c r="AH244" i="2"/>
  <c r="AN244" i="2"/>
  <c r="AB244" i="2"/>
  <c r="T293" i="2"/>
  <c r="AB293" i="2"/>
  <c r="AN293" i="2"/>
  <c r="AH183" i="2"/>
  <c r="T183" i="2"/>
  <c r="AN183" i="2"/>
  <c r="AH184" i="2"/>
  <c r="V235" i="2"/>
  <c r="V291" i="2"/>
  <c r="V298" i="2"/>
  <c r="AF412" i="2"/>
  <c r="AN263" i="2"/>
  <c r="V297" i="2"/>
  <c r="V323" i="2"/>
  <c r="Z441" i="2" l="1"/>
  <c r="AN441" i="2"/>
  <c r="AB441" i="2"/>
  <c r="T440" i="2"/>
  <c r="V441" i="2"/>
  <c r="AF441" i="2"/>
  <c r="AH441" i="2"/>
  <c r="T443" i="2" s="1"/>
  <c r="T441" i="2"/>
  <c r="AO441" i="2" l="1"/>
  <c r="T445" i="2"/>
  <c r="T446" i="2"/>
</calcChain>
</file>

<file path=xl/sharedStrings.xml><?xml version="1.0" encoding="utf-8"?>
<sst xmlns="http://schemas.openxmlformats.org/spreadsheetml/2006/main" count="4790" uniqueCount="1818">
  <si>
    <t>Amlodipne (5 mg)</t>
  </si>
  <si>
    <t>Amlodipne (10 mg)</t>
  </si>
  <si>
    <t>Manidipine (20 mg)</t>
  </si>
  <si>
    <t>Simvastatin (20 mg)</t>
  </si>
  <si>
    <t xml:space="preserve">Atorvastatin (40 mg) </t>
  </si>
  <si>
    <t>ปริมาณใช้ (เม็ด)</t>
  </si>
  <si>
    <t>มูลค่า (บาท)</t>
  </si>
  <si>
    <t>แผนจัดซื้อเวชภัณฑ์ยา ประจำปีงบประมาณ 2569 เขตบริการสุขภาพที่ 10</t>
  </si>
  <si>
    <t>โรงพยาบาล ม่วงสามสิบ  จังหวัด อุบลราชธานี</t>
  </si>
  <si>
    <t>รายการยาตามบัญชียาโรงพยาบาลม่วงสามสิบ</t>
  </si>
  <si>
    <t>ลำ ดับ</t>
  </si>
  <si>
    <t>ขนาด</t>
  </si>
  <si>
    <t>หน่วย</t>
  </si>
  <si>
    <t>อัตราการใช้ย้อนหลัง</t>
  </si>
  <si>
    <t>ประมาณ</t>
  </si>
  <si>
    <t>ยอด</t>
  </si>
  <si>
    <t>ประมาณการ</t>
  </si>
  <si>
    <t>ราคา</t>
  </si>
  <si>
    <t>ไตรมาส 1(ต.ค.-ธ.ค.)</t>
  </si>
  <si>
    <t>ไตรมาส 2(ม.ค.-มี.ค.)</t>
  </si>
  <si>
    <t>ไตรมาส 3(เม.ย-มิ.ย)</t>
  </si>
  <si>
    <t>ไตรมาส 4(ก.ค.-ก.ย.)</t>
  </si>
  <si>
    <t>Hcode</t>
  </si>
  <si>
    <t>ดับ</t>
  </si>
  <si>
    <t>รหัส TMT</t>
  </si>
  <si>
    <t>รหัส GPU</t>
  </si>
  <si>
    <t>รหัสยา 24 หลัก</t>
  </si>
  <si>
    <t>รายการยา</t>
  </si>
  <si>
    <t>ประเภท</t>
  </si>
  <si>
    <t>รูปแบบ</t>
  </si>
  <si>
    <t>บรรจุ</t>
  </si>
  <si>
    <t>3 ปี</t>
  </si>
  <si>
    <t>การใช้</t>
  </si>
  <si>
    <t>ยก</t>
  </si>
  <si>
    <t>ซื้อในปี2569</t>
  </si>
  <si>
    <t>ต่อ</t>
  </si>
  <si>
    <t>มูลค่าซื้อ</t>
  </si>
  <si>
    <t>ED/NED</t>
  </si>
  <si>
    <t>ปี 2569</t>
  </si>
  <si>
    <t>มา</t>
  </si>
  <si>
    <t>(จำนวน)</t>
  </si>
  <si>
    <t>ตามแผน</t>
  </si>
  <si>
    <t>มูลค่า(บาท)</t>
  </si>
  <si>
    <t>ซื้อจริง</t>
  </si>
  <si>
    <t>บริษัท</t>
  </si>
  <si>
    <t>ราคาต่อหน่วย</t>
  </si>
  <si>
    <t>มูลค่า</t>
  </si>
  <si>
    <t>0492</t>
  </si>
  <si>
    <t>777636</t>
  </si>
  <si>
    <t>100942000000780210181474</t>
  </si>
  <si>
    <t xml:space="preserve">0.9% NaCl   100 ml Inj </t>
  </si>
  <si>
    <t>Solution</t>
  </si>
  <si>
    <t>ขวด</t>
  </si>
  <si>
    <t>GHP</t>
  </si>
  <si>
    <t>0411</t>
  </si>
  <si>
    <t>770813</t>
  </si>
  <si>
    <t xml:space="preserve">0.9% NaCl 1,000 ml Inj </t>
  </si>
  <si>
    <t>1305</t>
  </si>
  <si>
    <t>770832</t>
  </si>
  <si>
    <t xml:space="preserve">0.9% NaCl 500 ml. Inj </t>
  </si>
  <si>
    <t>bag</t>
  </si>
  <si>
    <t>ANB</t>
  </si>
  <si>
    <t>1823</t>
  </si>
  <si>
    <t>761381</t>
  </si>
  <si>
    <t>0.9% NaCl Irrigate 1,000 ml Sol</t>
  </si>
  <si>
    <t>V&amp;V</t>
  </si>
  <si>
    <t>1407</t>
  </si>
  <si>
    <t>789493</t>
  </si>
  <si>
    <t xml:space="preserve">0.9% NaCl Irrigate 500 ml. Sol </t>
  </si>
  <si>
    <t>2064</t>
  </si>
  <si>
    <t>521333</t>
  </si>
  <si>
    <t>100942000000780210181484</t>
  </si>
  <si>
    <t>0.9%NaCl CAPD Sol  5 ml</t>
  </si>
  <si>
    <t>Amp</t>
  </si>
  <si>
    <t>Pinyo</t>
  </si>
  <si>
    <t>0089</t>
  </si>
  <si>
    <t>731169</t>
  </si>
  <si>
    <t>100942000001010110181474</t>
  </si>
  <si>
    <t>3% NaCl  500 ml.</t>
  </si>
  <si>
    <t>0145</t>
  </si>
  <si>
    <t>228727</t>
  </si>
  <si>
    <t>101176000004293220381175</t>
  </si>
  <si>
    <t>Acetazolamide  Tab (250 mg)</t>
  </si>
  <si>
    <t>Tablet</t>
  </si>
  <si>
    <t>Tab</t>
  </si>
  <si>
    <t>2727</t>
  </si>
  <si>
    <t>101108000001320610181592</t>
  </si>
  <si>
    <t>Acetyl Cysteine inj (300 mg/3ml)</t>
  </si>
  <si>
    <t>Injection</t>
  </si>
  <si>
    <t>LBS</t>
  </si>
  <si>
    <t>1756</t>
  </si>
  <si>
    <t>836235</t>
  </si>
  <si>
    <t>101208017002781130781674</t>
  </si>
  <si>
    <t>Activated CHARCOAL Powder  (50 g)</t>
  </si>
  <si>
    <t>powder</t>
  </si>
  <si>
    <t>ซอง</t>
  </si>
  <si>
    <t>0443</t>
  </si>
  <si>
    <t>482326</t>
  </si>
  <si>
    <t>100222000004410220381081</t>
  </si>
  <si>
    <t>Acyclovir Tab (400 mg)</t>
  </si>
  <si>
    <t>Burapha</t>
  </si>
  <si>
    <t>Pharmahof</t>
  </si>
  <si>
    <t>1838</t>
  </si>
  <si>
    <t>664297</t>
  </si>
  <si>
    <t>102075000000660110181537</t>
  </si>
  <si>
    <t>Adenosine Inj (6 mg/2 ml)</t>
  </si>
  <si>
    <t>0066</t>
  </si>
  <si>
    <t>537227</t>
  </si>
  <si>
    <t>100388000000531310181506</t>
  </si>
  <si>
    <t>Adrenaline Inj (1 mg)</t>
  </si>
  <si>
    <t>GPO</t>
  </si>
  <si>
    <t>0147</t>
  </si>
  <si>
    <t>689904</t>
  </si>
  <si>
    <t>201020110017684130481398</t>
  </si>
  <si>
    <t>Al(OH)3+Mg(OH)3+Simethicone Susp</t>
  </si>
  <si>
    <t>Suspension</t>
  </si>
  <si>
    <t>Bottle (120)</t>
  </si>
  <si>
    <t>TNP</t>
  </si>
  <si>
    <t>0148</t>
  </si>
  <si>
    <t>836513</t>
  </si>
  <si>
    <t>201020110018207120381130</t>
  </si>
  <si>
    <t>Al(OH)3+Mg(OH)3+Simethicone Tab</t>
  </si>
  <si>
    <t>Polipharm</t>
  </si>
  <si>
    <t>0489</t>
  </si>
  <si>
    <t>582424</t>
  </si>
  <si>
    <t>100070000000920430481506</t>
  </si>
  <si>
    <t>Albendazole Susp (200 mg/5 ml)</t>
  </si>
  <si>
    <t>Bottle (20)</t>
  </si>
  <si>
    <t>0012</t>
  </si>
  <si>
    <t>666691</t>
  </si>
  <si>
    <t>100070000004203120381506</t>
  </si>
  <si>
    <t>Albendazole Tab (200 mg)</t>
  </si>
  <si>
    <t>0521</t>
  </si>
  <si>
    <t>800133</t>
  </si>
  <si>
    <t>101804000050160241581506</t>
  </si>
  <si>
    <t>Alcohol   450 ml. Sol (70 %)</t>
  </si>
  <si>
    <t>1753</t>
  </si>
  <si>
    <t>766109</t>
  </si>
  <si>
    <t>Alcohol   60 ml Sol (70 %</t>
  </si>
  <si>
    <t>0520</t>
  </si>
  <si>
    <t>846568</t>
  </si>
  <si>
    <t xml:space="preserve">ไม่มีเลข 24 หลัก </t>
  </si>
  <si>
    <t>Alcohol  Handrub 450 ml Sol (70 %)</t>
  </si>
  <si>
    <t>0188</t>
  </si>
  <si>
    <t>235062</t>
  </si>
  <si>
    <t>100006000004021220381473</t>
  </si>
  <si>
    <t>Allopurinol Tab (100 mg)</t>
  </si>
  <si>
    <t>TO</t>
  </si>
  <si>
    <t>0079</t>
  </si>
  <si>
    <t>238629</t>
  </si>
  <si>
    <t>203030150018341120381079</t>
  </si>
  <si>
    <t>Amiloride+HCTZ(Moduretic) Tab</t>
  </si>
  <si>
    <t>1971</t>
  </si>
  <si>
    <t>664526</t>
  </si>
  <si>
    <t>100655133001171010181537</t>
  </si>
  <si>
    <t>Amiodarone 150 mg/3 ml Inj</t>
  </si>
  <si>
    <t>0097</t>
  </si>
  <si>
    <t>736949</t>
  </si>
  <si>
    <t>100789000003620121781506</t>
  </si>
  <si>
    <t>Amitriptylline Tab (10 mg)</t>
  </si>
  <si>
    <t>Newlife</t>
  </si>
  <si>
    <t>0098</t>
  </si>
  <si>
    <t>464550</t>
  </si>
  <si>
    <t>100789000003750120381625</t>
  </si>
  <si>
    <t>Amitriptylline Tab (25 mg)</t>
  </si>
  <si>
    <t>0514</t>
  </si>
  <si>
    <t>108562</t>
  </si>
  <si>
    <t>124813000003620120381506</t>
  </si>
  <si>
    <t>AMLOdipine Tab (10 mg)</t>
  </si>
  <si>
    <t>นวัต</t>
  </si>
  <si>
    <t>0683</t>
  </si>
  <si>
    <t>108464</t>
  </si>
  <si>
    <t>124813000003521120381202</t>
  </si>
  <si>
    <t>AMLOdipine Tab (5 mg)</t>
  </si>
  <si>
    <t>Berlin</t>
  </si>
  <si>
    <t>0663</t>
  </si>
  <si>
    <t>218040100019999970181222</t>
  </si>
  <si>
    <t>Ammonia spirit Sol</t>
  </si>
  <si>
    <t>Bottle (450)</t>
  </si>
  <si>
    <t>รง.เภสัชกรรมทหาร</t>
  </si>
  <si>
    <t>0026</t>
  </si>
  <si>
    <t>447961</t>
  </si>
  <si>
    <t>100176000004293220181620</t>
  </si>
  <si>
    <t>Amoxycillin Cap (250 mg)</t>
  </si>
  <si>
    <t>Capsule</t>
  </si>
  <si>
    <t>Cap</t>
  </si>
  <si>
    <t>Utopian</t>
  </si>
  <si>
    <t>0001</t>
  </si>
  <si>
    <t>742125</t>
  </si>
  <si>
    <t>100176000004493120181506</t>
  </si>
  <si>
    <t>Amoxycillin Cap (500 mg)</t>
  </si>
  <si>
    <t>0024</t>
  </si>
  <si>
    <t>589745</t>
  </si>
  <si>
    <t>100176000000950330681620</t>
  </si>
  <si>
    <t>Amoxycillin Syr (125 mg/5 ml)</t>
  </si>
  <si>
    <t>Syrub</t>
  </si>
  <si>
    <t>Bottle (60)</t>
  </si>
  <si>
    <t>DKSH</t>
  </si>
  <si>
    <t>1788</t>
  </si>
  <si>
    <t>539218</t>
  </si>
  <si>
    <t>210010310017758110281247</t>
  </si>
  <si>
    <t>Amoxycillin+Clavulonic acid  Inj (1.20 gm)</t>
  </si>
  <si>
    <t>Vial</t>
  </si>
  <si>
    <t>Zuellig</t>
  </si>
  <si>
    <t>0029</t>
  </si>
  <si>
    <t>539622</t>
  </si>
  <si>
    <t>100145000002620110181506</t>
  </si>
  <si>
    <t>Ampicillin Inj (1 gm)</t>
  </si>
  <si>
    <t>0027</t>
  </si>
  <si>
    <t>540227</t>
  </si>
  <si>
    <t>100145000004494110281084</t>
  </si>
  <si>
    <t>Ampicillin Inj (250 mg)</t>
  </si>
  <si>
    <t>TP drug</t>
  </si>
  <si>
    <t>0028</t>
  </si>
  <si>
    <t>540243</t>
  </si>
  <si>
    <t>Ampicillin Inj (500 mg)</t>
  </si>
  <si>
    <t>0059</t>
  </si>
  <si>
    <t>250335</t>
  </si>
  <si>
    <t>100736000004320120381445</t>
  </si>
  <si>
    <t>Aspirin Tab (300 mg) enteric coat</t>
  </si>
  <si>
    <t>1776</t>
  </si>
  <si>
    <t>251510</t>
  </si>
  <si>
    <t>100736000004000120481602</t>
  </si>
  <si>
    <t>Aspirin Tab (81 mg) enteric coat</t>
  </si>
  <si>
    <t>0438</t>
  </si>
  <si>
    <t>417203</t>
  </si>
  <si>
    <t>100439000003850120381421</t>
  </si>
  <si>
    <t>Atenolol Tab (50 mg)</t>
  </si>
  <si>
    <t>Pharmadica</t>
  </si>
  <si>
    <t>2167</t>
  </si>
  <si>
    <t>124823042003841121781179</t>
  </si>
  <si>
    <t>Atorvastatin Tab (40 mg)</t>
  </si>
  <si>
    <t>T.Man</t>
  </si>
  <si>
    <t>0006</t>
  </si>
  <si>
    <t>766735</t>
  </si>
  <si>
    <t>100349280000480210181506</t>
  </si>
  <si>
    <t>Atropine Inj (0.60 mg)</t>
  </si>
  <si>
    <t>0434</t>
  </si>
  <si>
    <t>210010310018388121781421</t>
  </si>
  <si>
    <t>Augmentin Cap (625 mg)</t>
  </si>
  <si>
    <t>DKLL</t>
  </si>
  <si>
    <t>0427</t>
  </si>
  <si>
    <t>661235</t>
  </si>
  <si>
    <t>100150991005980110281414</t>
  </si>
  <si>
    <t>Benzathine Pen G Inj (1.20 mU)</t>
  </si>
  <si>
    <t>0400</t>
  </si>
  <si>
    <t>643616</t>
  </si>
  <si>
    <t>100382133003361120381506</t>
  </si>
  <si>
    <t>Benzhexol Tab (2 mg)</t>
  </si>
  <si>
    <t>CPL</t>
  </si>
  <si>
    <t>0111</t>
  </si>
  <si>
    <t>716248</t>
  </si>
  <si>
    <t>100382133003521120381169</t>
  </si>
  <si>
    <t>Benzhexol Tab (5 mg)</t>
  </si>
  <si>
    <t>Medifive</t>
  </si>
  <si>
    <t>0122</t>
  </si>
  <si>
    <t>101646000000120140481222</t>
  </si>
  <si>
    <t>Benzyl Benzolate 25 % 60 ml.</t>
  </si>
  <si>
    <t>1244</t>
  </si>
  <si>
    <t>100651000003560120381079</t>
  </si>
  <si>
    <t>Betahistine Tab (6 mg)</t>
  </si>
  <si>
    <t>SPS</t>
  </si>
  <si>
    <t>0123</t>
  </si>
  <si>
    <t>766863</t>
  </si>
  <si>
    <t>101385000001900540181506</t>
  </si>
  <si>
    <t>Betamethasone Cream (0.1 %/5g )</t>
  </si>
  <si>
    <t>Cream</t>
  </si>
  <si>
    <t>หลอด</t>
  </si>
  <si>
    <t>0216</t>
  </si>
  <si>
    <t>811879</t>
  </si>
  <si>
    <t>101705000003093170581057</t>
  </si>
  <si>
    <t>Budesonide MDI (200 mcg)</t>
  </si>
  <si>
    <t>MDI</t>
  </si>
  <si>
    <t>2441</t>
  </si>
  <si>
    <t>101382000004020110281175</t>
  </si>
  <si>
    <t>Budesonide Nasal sray (64mcg/dose-120dose)</t>
  </si>
  <si>
    <t>0127</t>
  </si>
  <si>
    <t>491292</t>
  </si>
  <si>
    <t>204040100029999940481506</t>
  </si>
  <si>
    <t>Calamine Emulsion (60ml )</t>
  </si>
  <si>
    <t xml:space="preserve">DKSH </t>
  </si>
  <si>
    <t>0700</t>
  </si>
  <si>
    <t>737759</t>
  </si>
  <si>
    <t>102209000002640120381179</t>
  </si>
  <si>
    <t>Calcium carbonate Tab (1250 mg)</t>
  </si>
  <si>
    <t>Prosp</t>
  </si>
  <si>
    <t>0225</t>
  </si>
  <si>
    <t>767041</t>
  </si>
  <si>
    <t>100977000001321410181506</t>
  </si>
  <si>
    <t>Calcium gluconate Inj (10 %/10 ml)</t>
  </si>
  <si>
    <t>0444</t>
  </si>
  <si>
    <t>689467</t>
  </si>
  <si>
    <t>102210466002450130781178</t>
  </si>
  <si>
    <t>Calcium Polystyrene Powder (5 gm)</t>
  </si>
  <si>
    <t>1299</t>
  </si>
  <si>
    <t>111348</t>
  </si>
  <si>
    <t>100618000003750120381169</t>
  </si>
  <si>
    <t xml:space="preserve">Captopril 25 mg Tab   </t>
  </si>
  <si>
    <t>0109</t>
  </si>
  <si>
    <t>246914</t>
  </si>
  <si>
    <t>100775000004203120381445</t>
  </si>
  <si>
    <t>Carbamazepine Tab (200 mg)</t>
  </si>
  <si>
    <t>1978</t>
  </si>
  <si>
    <t>124834000003652120381421</t>
  </si>
  <si>
    <t>Carvedilol Tab (12.5 mg)</t>
  </si>
  <si>
    <t>นวัต+GPO</t>
  </si>
  <si>
    <t>0511</t>
  </si>
  <si>
    <t>543175</t>
  </si>
  <si>
    <t>100118000002620110281189</t>
  </si>
  <si>
    <t>Cefazolin Inj (1 gm)</t>
  </si>
  <si>
    <t>0119</t>
  </si>
  <si>
    <t>548062</t>
  </si>
  <si>
    <t>100131000004494110281189</t>
  </si>
  <si>
    <t xml:space="preserve">Ceftazidime Inj (1 gm) </t>
  </si>
  <si>
    <t>0403</t>
  </si>
  <si>
    <t>549007</t>
  </si>
  <si>
    <t>100133000002620110281329</t>
  </si>
  <si>
    <t>Ceftriaxone Inj (1000 mg)</t>
  </si>
  <si>
    <t>0432</t>
  </si>
  <si>
    <t>525646</t>
  </si>
  <si>
    <t>219020100017162160681084</t>
  </si>
  <si>
    <t>Chloramphenicol Ear Drop (1%/5ml)</t>
  </si>
  <si>
    <t>Ear drop</t>
  </si>
  <si>
    <t>0139</t>
  </si>
  <si>
    <t>787876</t>
  </si>
  <si>
    <t>100137000000700660581389</t>
  </si>
  <si>
    <t>Chloramphenicol Eye Drop (0.50%/10 ml)</t>
  </si>
  <si>
    <t>Eye drop</t>
  </si>
  <si>
    <t>2082</t>
  </si>
  <si>
    <t>100137000002040360281625</t>
  </si>
  <si>
    <t>Chloramphenicol eye oint</t>
  </si>
  <si>
    <t>eye oint</t>
  </si>
  <si>
    <t>GDH</t>
  </si>
  <si>
    <t>0043</t>
  </si>
  <si>
    <t>736983</t>
  </si>
  <si>
    <t>100241000004293220381506</t>
  </si>
  <si>
    <t>Chloroquine Tab (250 mg)</t>
  </si>
  <si>
    <t>Utopain</t>
  </si>
  <si>
    <t>0165</t>
  </si>
  <si>
    <t>737008</t>
  </si>
  <si>
    <t>100821000004021221781506</t>
  </si>
  <si>
    <t>Chlorpromazine Tab (100 mg)</t>
  </si>
  <si>
    <t>Atlantic</t>
  </si>
  <si>
    <t>0163</t>
  </si>
  <si>
    <t>368343</t>
  </si>
  <si>
    <t>100821000003750121781625</t>
  </si>
  <si>
    <t>Chlorpromazine Tab (25 mg)</t>
  </si>
  <si>
    <t>0164</t>
  </si>
  <si>
    <t>368406</t>
  </si>
  <si>
    <t>100821000003850121781625</t>
  </si>
  <si>
    <t>Chlorpromazine Tab (50 mg)</t>
  </si>
  <si>
    <t>0677</t>
  </si>
  <si>
    <t>448104</t>
  </si>
  <si>
    <t>100180000004293220381620</t>
  </si>
  <si>
    <t>Ciprofloxacin Tab (250 mg)</t>
  </si>
  <si>
    <t>1793</t>
  </si>
  <si>
    <t>286622</t>
  </si>
  <si>
    <t>100207000004121120181506</t>
  </si>
  <si>
    <t>Clindamycin Cap (150 mg)</t>
  </si>
  <si>
    <t>2267</t>
  </si>
  <si>
    <t>554088</t>
  </si>
  <si>
    <t>100207000001390510181175</t>
  </si>
  <si>
    <t>Clindamycin Inj (600 mg/4 ml)</t>
  </si>
  <si>
    <t>Able</t>
  </si>
  <si>
    <t>0898</t>
  </si>
  <si>
    <t>414924</t>
  </si>
  <si>
    <t>102235000003211220381169</t>
  </si>
  <si>
    <t xml:space="preserve">Clonazepam Tab (0.50 mg)  </t>
  </si>
  <si>
    <t>2045</t>
  </si>
  <si>
    <t>102235000003361120381445</t>
  </si>
  <si>
    <t xml:space="preserve">Clonazepam Tab (2 mg)  </t>
  </si>
  <si>
    <t>1791</t>
  </si>
  <si>
    <t>106898</t>
  </si>
  <si>
    <t>124846000003972121781506</t>
  </si>
  <si>
    <t>Clopidogrel(Plavix) Tab (75 mg)</t>
  </si>
  <si>
    <t>0205</t>
  </si>
  <si>
    <t>532658</t>
  </si>
  <si>
    <t>104337000003521120181445</t>
  </si>
  <si>
    <t>Clorazepate  Cap (5 mg)</t>
  </si>
  <si>
    <t>0399</t>
  </si>
  <si>
    <t>495723</t>
  </si>
  <si>
    <t>100103000002040340181130</t>
  </si>
  <si>
    <t>Clotrimazole Cream (1 %/5 )</t>
  </si>
  <si>
    <t>0048</t>
  </si>
  <si>
    <t>271656</t>
  </si>
  <si>
    <t>100103000003620120981081</t>
  </si>
  <si>
    <t>Clotrimazole troche Tab (10 mg)</t>
  </si>
  <si>
    <t>0659</t>
  </si>
  <si>
    <t>447523</t>
  </si>
  <si>
    <t>100103000004021280981620</t>
  </si>
  <si>
    <t>Clotrimazole vaginal Supp (100 mg)</t>
  </si>
  <si>
    <t>Vag tab</t>
  </si>
  <si>
    <t>0034</t>
  </si>
  <si>
    <t>767115</t>
  </si>
  <si>
    <t>100153000004494110281084</t>
  </si>
  <si>
    <t>Cloxacillin Inj (1 gm)</t>
  </si>
  <si>
    <t>0951</t>
  </si>
  <si>
    <t>290166</t>
  </si>
  <si>
    <t>124847000004021220381325</t>
  </si>
  <si>
    <t>Clozapine Tab (100 mg)</t>
  </si>
  <si>
    <t>0977</t>
  </si>
  <si>
    <t>290204</t>
  </si>
  <si>
    <t>124847000003750120381169</t>
  </si>
  <si>
    <t>Clozapine Tab (25 mg)</t>
  </si>
  <si>
    <t>0686</t>
  </si>
  <si>
    <t>กำลังอยู่ในระหว่างขอเลข</t>
  </si>
  <si>
    <t>Coal tar shampoo Sol (150 ml)</t>
  </si>
  <si>
    <t>0189</t>
  </si>
  <si>
    <t>339054</t>
  </si>
  <si>
    <t>100001000003240120381445</t>
  </si>
  <si>
    <t>Colchicine Tab (0.60 mg)</t>
  </si>
  <si>
    <t>0040</t>
  </si>
  <si>
    <t>689480</t>
  </si>
  <si>
    <t>210010500017408130481506</t>
  </si>
  <si>
    <t>Co-trimoxazole Susp (5 ml)</t>
  </si>
  <si>
    <t>0002</t>
  </si>
  <si>
    <t>414884</t>
  </si>
  <si>
    <t>210010500018320120381445</t>
  </si>
  <si>
    <t>Co-Trimoxazole Tab</t>
  </si>
  <si>
    <t>0222</t>
  </si>
  <si>
    <t>783664</t>
  </si>
  <si>
    <t>100008190000801210181506</t>
  </si>
  <si>
    <t>CPM Inj (10 mg)</t>
  </si>
  <si>
    <t>0223</t>
  </si>
  <si>
    <t>838329</t>
  </si>
  <si>
    <t>100008190000450230581617</t>
  </si>
  <si>
    <t>CPM Syr (2 mg/5 ml)</t>
  </si>
  <si>
    <t>0221</t>
  </si>
  <si>
    <t>757048</t>
  </si>
  <si>
    <t>100008190003471120381253</t>
  </si>
  <si>
    <t>CPM Tab (4 mg)</t>
  </si>
  <si>
    <t>0485</t>
  </si>
  <si>
    <t>529214</t>
  </si>
  <si>
    <t>211010220017539110181474</t>
  </si>
  <si>
    <t>D-5-N/2 Inj (1000 ml)</t>
  </si>
  <si>
    <t>0707</t>
  </si>
  <si>
    <t>529205</t>
  </si>
  <si>
    <t>D-5-N/2 Inj (500 )</t>
  </si>
  <si>
    <t>0234</t>
  </si>
  <si>
    <t>559744</t>
  </si>
  <si>
    <t>211010220017538110181474</t>
  </si>
  <si>
    <t>D-5-N/3 Inj (1000 ml)</t>
  </si>
  <si>
    <t>0233</t>
  </si>
  <si>
    <t>559609</t>
  </si>
  <si>
    <t>D-5-N/3 Inj (500 ml)</t>
  </si>
  <si>
    <t>0232</t>
  </si>
  <si>
    <t>559433</t>
  </si>
  <si>
    <t>211010220017537110181474</t>
  </si>
  <si>
    <t>D-5-N/4 Inj (500 ml)</t>
  </si>
  <si>
    <t>0231</t>
  </si>
  <si>
    <t>559286</t>
  </si>
  <si>
    <t>211010220017534110181474</t>
  </si>
  <si>
    <t>D-5-N/5 Inj (500 ml)</t>
  </si>
  <si>
    <t>0230</t>
  </si>
  <si>
    <t>529401</t>
  </si>
  <si>
    <t>211010220017540110181474</t>
  </si>
  <si>
    <t>D-5-S Inj (1000 ml)</t>
  </si>
  <si>
    <t>0229</t>
  </si>
  <si>
    <t>529396</t>
  </si>
  <si>
    <t>D-5-S Inj (500 ml)</t>
  </si>
  <si>
    <t>0235</t>
  </si>
  <si>
    <t>528598</t>
  </si>
  <si>
    <t>100994000001170610181474</t>
  </si>
  <si>
    <t>D-5-W Inj (100 ml)</t>
  </si>
  <si>
    <t>0237</t>
  </si>
  <si>
    <t>528624</t>
  </si>
  <si>
    <t>D-5-W Inj (1000 ml)</t>
  </si>
  <si>
    <t>2496</t>
  </si>
  <si>
    <t>D-5-W Inj (250 ml)</t>
  </si>
  <si>
    <t>0236</t>
  </si>
  <si>
    <t>557675</t>
  </si>
  <si>
    <t>D-5-W Inj (500 ml)</t>
  </si>
  <si>
    <t>0047</t>
  </si>
  <si>
    <t>317340</t>
  </si>
  <si>
    <t>100272000004021220381621</t>
  </si>
  <si>
    <t>Dapsone tab (100 mg)</t>
  </si>
  <si>
    <t>tablet</t>
  </si>
  <si>
    <t>tab</t>
  </si>
  <si>
    <t>Pond</t>
  </si>
  <si>
    <t>0135</t>
  </si>
  <si>
    <t>556142</t>
  </si>
  <si>
    <t>101380000000680310181084</t>
  </si>
  <si>
    <t>Dexamethasone Inj (4 mg)</t>
  </si>
  <si>
    <t>แหลมทอง</t>
  </si>
  <si>
    <t>0217</t>
  </si>
  <si>
    <t>307685</t>
  </si>
  <si>
    <t>101147000003670120381506</t>
  </si>
  <si>
    <t>Dextromethophan Tab (15 mg)</t>
  </si>
  <si>
    <t>Medic Pharma</t>
  </si>
  <si>
    <t>0100</t>
  </si>
  <si>
    <t>560472</t>
  </si>
  <si>
    <t>100854000000700210181506</t>
  </si>
  <si>
    <t>Diazepam Inj (10 mg/2 mg)</t>
  </si>
  <si>
    <t>0101</t>
  </si>
  <si>
    <t>767143</t>
  </si>
  <si>
    <t>100854000003361120381506</t>
  </si>
  <si>
    <t>Diazepam Tab (2 mg)</t>
  </si>
  <si>
    <t>0102</t>
  </si>
  <si>
    <t>767162</t>
  </si>
  <si>
    <t>100854000003521120381506</t>
  </si>
  <si>
    <t>Diazepam Tab (5 mg)</t>
  </si>
  <si>
    <t>0035</t>
  </si>
  <si>
    <t>311432</t>
  </si>
  <si>
    <t>100173000004293220181620</t>
  </si>
  <si>
    <t>Dicloxacillin Cap (250 mg)</t>
  </si>
  <si>
    <t>0690</t>
  </si>
  <si>
    <t>611212</t>
  </si>
  <si>
    <t>100173000000820430681084</t>
  </si>
  <si>
    <t>Dicloxacillin Susp (62.5 mg/5 ml)</t>
  </si>
  <si>
    <t>7-Stars</t>
  </si>
  <si>
    <t>2270</t>
  </si>
  <si>
    <t>311011</t>
  </si>
  <si>
    <t>100352000003620120381341</t>
  </si>
  <si>
    <t>Dicyclomine tab (10 mg)</t>
  </si>
  <si>
    <t>0062</t>
  </si>
  <si>
    <t>767923</t>
  </si>
  <si>
    <t>100571000000420210181336</t>
  </si>
  <si>
    <t>Digoxin Inj (0.50 mg/2 ml)</t>
  </si>
  <si>
    <t>0063</t>
  </si>
  <si>
    <t>460220</t>
  </si>
  <si>
    <t>100571000003122220381081</t>
  </si>
  <si>
    <t>Digoxin Tab (0.25 mg)</t>
  </si>
  <si>
    <t>T.O</t>
  </si>
  <si>
    <t>0113</t>
  </si>
  <si>
    <t>560813</t>
  </si>
  <si>
    <t>101313000001171210181592</t>
  </si>
  <si>
    <t>Dimenhydrinate Inj (50 mg)</t>
  </si>
  <si>
    <t>0114</t>
  </si>
  <si>
    <t>408760</t>
  </si>
  <si>
    <t>101313000003850120381169</t>
  </si>
  <si>
    <t>Dimenhydrinate Tab (50 mg)</t>
  </si>
  <si>
    <t>1850</t>
  </si>
  <si>
    <t>863761</t>
  </si>
  <si>
    <t>210060170017003010181433</t>
  </si>
  <si>
    <t xml:space="preserve">diphtheria and Tetanus Vacc. Inj </t>
  </si>
  <si>
    <t>Masu</t>
  </si>
  <si>
    <t>0158</t>
  </si>
  <si>
    <t>614786</t>
  </si>
  <si>
    <t>101314000000531430481189</t>
  </si>
  <si>
    <t>Domperidone Susp (5 mg/5 ml)</t>
  </si>
  <si>
    <t>Bottle (30)</t>
  </si>
  <si>
    <t>Asian Pharm</t>
  </si>
  <si>
    <t>0159</t>
  </si>
  <si>
    <t>316705</t>
  </si>
  <si>
    <t>101314000003620120381553</t>
  </si>
  <si>
    <t>Domperidone Tab (10 mg)</t>
  </si>
  <si>
    <t>0065</t>
  </si>
  <si>
    <t>735852</t>
  </si>
  <si>
    <t>100416133000800810181247</t>
  </si>
  <si>
    <t>Dopamine Inj (250 mg/10ml)</t>
  </si>
  <si>
    <t>0041</t>
  </si>
  <si>
    <t>318157</t>
  </si>
  <si>
    <t>100191000004021220181473</t>
  </si>
  <si>
    <t>Doxycycline Cap (100 mg)</t>
  </si>
  <si>
    <t>New Life</t>
  </si>
  <si>
    <t>0441</t>
  </si>
  <si>
    <t>112032</t>
  </si>
  <si>
    <t>100619000003721120381421</t>
  </si>
  <si>
    <t>Enalapril Tab (20 mg)</t>
  </si>
  <si>
    <t>0078</t>
  </si>
  <si>
    <t>111471</t>
  </si>
  <si>
    <t>100619000003521120381421</t>
  </si>
  <si>
    <t>Enalapril Tab (5 mg)</t>
  </si>
  <si>
    <t>0170</t>
  </si>
  <si>
    <t>766023</t>
  </si>
  <si>
    <t>100942000001390380781202</t>
  </si>
  <si>
    <t>Enema for adults Sol (15 %)</t>
  </si>
  <si>
    <t>Unison</t>
  </si>
  <si>
    <t>0169</t>
  </si>
  <si>
    <t>770673</t>
  </si>
  <si>
    <t>Enema for children  (15 %/10 ml )</t>
  </si>
  <si>
    <t>2447</t>
  </si>
  <si>
    <t>100483998015470110181652</t>
  </si>
  <si>
    <t>Erythropoetin alfa 5000 iu/0.5ml syringe</t>
  </si>
  <si>
    <t>Syringe</t>
  </si>
  <si>
    <t>0096</t>
  </si>
  <si>
    <t>459863</t>
  </si>
  <si>
    <t>214020300017768120381081</t>
  </si>
  <si>
    <t>Ergotamine Tab (1 mg)</t>
  </si>
  <si>
    <t>3218</t>
  </si>
  <si>
    <t>762684</t>
  </si>
  <si>
    <t>101549243015060110181528</t>
  </si>
  <si>
    <t>ERIG Inj (1000 Unit/5 IU)</t>
  </si>
  <si>
    <t>0020</t>
  </si>
  <si>
    <t>666627</t>
  </si>
  <si>
    <t>100141105000950330681620</t>
  </si>
  <si>
    <t>Erythromycin Syr (125 mg/5 ml)</t>
  </si>
  <si>
    <t>0395</t>
  </si>
  <si>
    <t>737096</t>
  </si>
  <si>
    <t>100218000004410220381506</t>
  </si>
  <si>
    <t>Ethambutol tab (400 mg)</t>
  </si>
  <si>
    <t>2329</t>
  </si>
  <si>
    <t>100218000004493121781621</t>
  </si>
  <si>
    <t xml:space="preserve">Ethambutol tab (500 mg) </t>
  </si>
  <si>
    <t>2376</t>
  </si>
  <si>
    <t>140915000003950110681284</t>
  </si>
  <si>
    <t>Etonogestrel implant 68 mg</t>
  </si>
  <si>
    <t>implant</t>
  </si>
  <si>
    <t>1735</t>
  </si>
  <si>
    <t>110050124274203121781506</t>
  </si>
  <si>
    <t>Favipiravir tab</t>
  </si>
  <si>
    <t>1509</t>
  </si>
  <si>
    <t>527539</t>
  </si>
  <si>
    <t>218030710017036070481592</t>
  </si>
  <si>
    <t xml:space="preserve">Fenoterol+Ipratropium soln </t>
  </si>
  <si>
    <t>Biopharm</t>
  </si>
  <si>
    <t>0851</t>
  </si>
  <si>
    <t>180016001003030210114190</t>
  </si>
  <si>
    <t>Fentanyl inj (0.1 mg/2 ml)</t>
  </si>
  <si>
    <t>อย</t>
  </si>
  <si>
    <t>2249</t>
  </si>
  <si>
    <t>180016001003481142014190</t>
  </si>
  <si>
    <t>Fentanyl Patch (25 mcg/hr)</t>
  </si>
  <si>
    <t>Patch</t>
  </si>
  <si>
    <t>แผ่น</t>
  </si>
  <si>
    <t>1751</t>
  </si>
  <si>
    <t>689697</t>
  </si>
  <si>
    <t>100488000001280130881602</t>
  </si>
  <si>
    <t>Ferrous fumarate susp. Susp (45 mg)</t>
  </si>
  <si>
    <t>1526</t>
  </si>
  <si>
    <t>767400</t>
  </si>
  <si>
    <t>100488000004203120381013</t>
  </si>
  <si>
    <t>Ferrous fumarate Tab (200 mg)</t>
  </si>
  <si>
    <t>Patar</t>
  </si>
  <si>
    <t>0417</t>
  </si>
  <si>
    <t>329812</t>
  </si>
  <si>
    <t>124864000004203120181506</t>
  </si>
  <si>
    <t>Fluconazole Cap (200 mg)</t>
  </si>
  <si>
    <t>0416</t>
  </si>
  <si>
    <t>329617</t>
  </si>
  <si>
    <t>100786000003721120181169</t>
  </si>
  <si>
    <t>Fluoxetine HCl Cap (20 mg)</t>
  </si>
  <si>
    <t>Pharmaland</t>
  </si>
  <si>
    <t>1982</t>
  </si>
  <si>
    <t>830402</t>
  </si>
  <si>
    <t>100807071000921010181122</t>
  </si>
  <si>
    <t xml:space="preserve">FLUpentixol Inj (40 mg/2 cc) </t>
  </si>
  <si>
    <t>BL Hau</t>
  </si>
  <si>
    <t>0191</t>
  </si>
  <si>
    <t>806882</t>
  </si>
  <si>
    <t>100814071000950710181472</t>
  </si>
  <si>
    <t>Fluphenazine modecate Inj (25 mg)</t>
  </si>
  <si>
    <t>Neupharma</t>
  </si>
  <si>
    <t>0258</t>
  </si>
  <si>
    <t>767471</t>
  </si>
  <si>
    <t>101870000003521120381506</t>
  </si>
  <si>
    <t>Folic acid Tab (5 mg)</t>
  </si>
  <si>
    <t>CPL 100x10's</t>
  </si>
  <si>
    <t>0398</t>
  </si>
  <si>
    <t>785218</t>
  </si>
  <si>
    <t>102063265009999941581506</t>
  </si>
  <si>
    <t>Formaline Sol (450 ml)</t>
  </si>
  <si>
    <t>0083</t>
  </si>
  <si>
    <t>562227</t>
  </si>
  <si>
    <t>101070000000801110181506</t>
  </si>
  <si>
    <t>Furosemide Inj (20 mg/2 ml)</t>
  </si>
  <si>
    <t>0084</t>
  </si>
  <si>
    <t>562477</t>
  </si>
  <si>
    <t>101070000004493120381247</t>
  </si>
  <si>
    <t>Furosemide Inj (250 mg/10 ml)</t>
  </si>
  <si>
    <t>0081</t>
  </si>
  <si>
    <t>735712</t>
  </si>
  <si>
    <t>101070000003841120381506</t>
  </si>
  <si>
    <t>Furosemide Tab (40 mg)</t>
  </si>
  <si>
    <t>0082</t>
  </si>
  <si>
    <t>332690</t>
  </si>
  <si>
    <t>Furosemide Tab (500 mg)</t>
  </si>
  <si>
    <t>1297</t>
  </si>
  <si>
    <t>124180000004320120181506</t>
  </si>
  <si>
    <t>Gabapentin Cap (300 mg)</t>
  </si>
  <si>
    <t>0407</t>
  </si>
  <si>
    <t>116770</t>
  </si>
  <si>
    <t>100590000004320120181169</t>
  </si>
  <si>
    <t>Gemfibrozil Cap (300 mg)</t>
  </si>
  <si>
    <t>0017</t>
  </si>
  <si>
    <t>563038</t>
  </si>
  <si>
    <t>100092000001100810181084</t>
  </si>
  <si>
    <t>Gentamicin Inj (80 mg/2 ml)</t>
  </si>
  <si>
    <t>0469</t>
  </si>
  <si>
    <t>338139</t>
  </si>
  <si>
    <t>101444000003521120381040</t>
  </si>
  <si>
    <t>Glipizide Tab (5 mg)</t>
  </si>
  <si>
    <t>0226</t>
  </si>
  <si>
    <t>557469</t>
  </si>
  <si>
    <t>100994000001580310181084</t>
  </si>
  <si>
    <t>Glucose Inj (50 %/50 ml)</t>
  </si>
  <si>
    <t>0050</t>
  </si>
  <si>
    <t>332155</t>
  </si>
  <si>
    <t>100100000004493120381130</t>
  </si>
  <si>
    <t>Griseofulvin Tab (500 mg)</t>
  </si>
  <si>
    <t>1754</t>
  </si>
  <si>
    <t>813745</t>
  </si>
  <si>
    <t>101124000000920430581506</t>
  </si>
  <si>
    <t>Guaiacolat, glyceryl Syr (100 mg/5 ml)</t>
  </si>
  <si>
    <t>1752</t>
  </si>
  <si>
    <t>715732</t>
  </si>
  <si>
    <t>101124000004021220381078</t>
  </si>
  <si>
    <t>Guaiacolate, glyceryl  Tab (100 mg)</t>
  </si>
  <si>
    <t>0672</t>
  </si>
  <si>
    <t>763969</t>
  </si>
  <si>
    <t>100823071001171210181625</t>
  </si>
  <si>
    <t xml:space="preserve">Haloperidol Decanoate 50mg SR IM Inj </t>
  </si>
  <si>
    <t>0264</t>
  </si>
  <si>
    <t>563142</t>
  </si>
  <si>
    <t>100823000000700110181625</t>
  </si>
  <si>
    <t>Haloperidol lactate Inj (5 mg)</t>
  </si>
  <si>
    <t>0193</t>
  </si>
  <si>
    <t>342471</t>
  </si>
  <si>
    <t>100823000003211220381473</t>
  </si>
  <si>
    <t>Haloperidol Tab (0.50 mg)</t>
  </si>
  <si>
    <t>Pharminar</t>
  </si>
  <si>
    <t>0194</t>
  </si>
  <si>
    <t>342143</t>
  </si>
  <si>
    <t>100823000003361120381472</t>
  </si>
  <si>
    <t>Haloperidol Tab (2 mg)</t>
  </si>
  <si>
    <t>Condrugs</t>
  </si>
  <si>
    <t>0195</t>
  </si>
  <si>
    <t>342213</t>
  </si>
  <si>
    <t>100823000003521120381472</t>
  </si>
  <si>
    <t>Haloperidol Tab (5 mg)</t>
  </si>
  <si>
    <t>2020</t>
  </si>
  <si>
    <t>737110</t>
  </si>
  <si>
    <t>101063000003750120381506</t>
  </si>
  <si>
    <t>HCTZ Tab (25 mg)</t>
  </si>
  <si>
    <t>2380</t>
  </si>
  <si>
    <t>100483998005390110182842</t>
  </si>
  <si>
    <t>Hemaplus (Epoetin alfa 4,000 u/ml)</t>
  </si>
  <si>
    <t>injection</t>
  </si>
  <si>
    <t>vial</t>
  </si>
  <si>
    <t>0958</t>
  </si>
  <si>
    <t>107388</t>
  </si>
  <si>
    <t>100525000005420110181124</t>
  </si>
  <si>
    <t>Heparin Inh Sol (5000 Unit)</t>
  </si>
  <si>
    <t>0350</t>
  </si>
  <si>
    <t>673014</t>
  </si>
  <si>
    <t>101571000040300210181506</t>
  </si>
  <si>
    <t>Hepatitis B 20mg  Inj  adult</t>
  </si>
  <si>
    <t>1964</t>
  </si>
  <si>
    <t>741339</t>
  </si>
  <si>
    <t>101571000070300210181433</t>
  </si>
  <si>
    <t>Hepatitis B ImmunoGlobulin(HBIG) Human Inj (180 Unit)</t>
  </si>
  <si>
    <t>0070</t>
  </si>
  <si>
    <t>715306</t>
  </si>
  <si>
    <t>100653133003750120381169</t>
  </si>
  <si>
    <t>Hydralazine Tab (25 mg)</t>
  </si>
  <si>
    <t>2262</t>
  </si>
  <si>
    <t>520544</t>
  </si>
  <si>
    <t xml:space="preserve">Hydrocortisone inj. (100 mg/2  ml) </t>
  </si>
  <si>
    <t>0174</t>
  </si>
  <si>
    <t>317270</t>
  </si>
  <si>
    <t>203050110038154180681013</t>
  </si>
  <si>
    <t>Hydrocortisone Suppository</t>
  </si>
  <si>
    <t>suppository</t>
  </si>
  <si>
    <t>Continental</t>
  </si>
  <si>
    <t>1274</t>
  </si>
  <si>
    <t>770924</t>
  </si>
  <si>
    <t>101173000001190341581506</t>
  </si>
  <si>
    <t>Hydrogen peroxide  (6 %) 450 ml</t>
  </si>
  <si>
    <t>0224</t>
  </si>
  <si>
    <t>346321</t>
  </si>
  <si>
    <t>100803000003620120381506</t>
  </si>
  <si>
    <t>HyDROXYzine Tab (10 mg)</t>
  </si>
  <si>
    <t>0156</t>
  </si>
  <si>
    <t>767686</t>
  </si>
  <si>
    <t>100354000020921010181506</t>
  </si>
  <si>
    <t>Hyoscine Inj (20 mg)</t>
  </si>
  <si>
    <t>0471</t>
  </si>
  <si>
    <t>797964</t>
  </si>
  <si>
    <t>100354000020531430581620</t>
  </si>
  <si>
    <t>Hyoscine Syr (5 mg/5 ml)</t>
  </si>
  <si>
    <t>0442</t>
  </si>
  <si>
    <t>126586</t>
  </si>
  <si>
    <t>100722000000920430481620</t>
  </si>
  <si>
    <t>Ibuprofen Syr (100 mg/5 ml)</t>
  </si>
  <si>
    <t>0184</t>
  </si>
  <si>
    <t>124831</t>
  </si>
  <si>
    <t>100722000004203121781130</t>
  </si>
  <si>
    <t>Ibuprofen Tab (200 mg)</t>
  </si>
  <si>
    <t>Umeda</t>
  </si>
  <si>
    <t>0185</t>
  </si>
  <si>
    <t>125525</t>
  </si>
  <si>
    <t>100722000004410220381620</t>
  </si>
  <si>
    <t>Ibuprofen Tab (400 mg)</t>
  </si>
  <si>
    <t>1794</t>
  </si>
  <si>
    <t>715055</t>
  </si>
  <si>
    <t>100790133003750120381169</t>
  </si>
  <si>
    <t xml:space="preserve">Imipramine Tab (25 mg)   </t>
  </si>
  <si>
    <t>0186</t>
  </si>
  <si>
    <t>127985</t>
  </si>
  <si>
    <t>100709000003750120181620</t>
  </si>
  <si>
    <t>Indomethacin Cap (25 mg)</t>
  </si>
  <si>
    <t>1906</t>
  </si>
  <si>
    <t>737414</t>
  </si>
  <si>
    <t>201120320037726221781506</t>
  </si>
  <si>
    <r>
      <t>Iodide +Ferrous+ Folic(0.15 mg+60.81+0.4) Tab [Triferdine]</t>
    </r>
    <r>
      <rPr>
        <b/>
        <sz val="12"/>
        <color indexed="10"/>
        <rFont val="Cordia New"/>
        <family val="2"/>
      </rPr>
      <t xml:space="preserve"> - pack 30's</t>
    </r>
  </si>
  <si>
    <t>1849</t>
  </si>
  <si>
    <r>
      <t>10091300000149011018</t>
    </r>
    <r>
      <rPr>
        <sz val="11"/>
        <rFont val="Cordia New"/>
        <family val="2"/>
      </rPr>
      <t>2800</t>
    </r>
  </si>
  <si>
    <t>Iopromide inj 0.62 gm/ml 50 ml) - 300 mg/ml</t>
  </si>
  <si>
    <t>0391</t>
  </si>
  <si>
    <t>737152</t>
  </si>
  <si>
    <t>100215000004021220381506</t>
  </si>
  <si>
    <t>Isoniazid tab (100 mg)</t>
  </si>
  <si>
    <t>0068</t>
  </si>
  <si>
    <t>825656</t>
  </si>
  <si>
    <t>100658000003620120381506</t>
  </si>
  <si>
    <t>Isosorbide Tab (10 mg)</t>
  </si>
  <si>
    <t>0067</t>
  </si>
  <si>
    <t>343259</t>
  </si>
  <si>
    <t>100658000003521120681247</t>
  </si>
  <si>
    <t>Isosorbide Tab (5 mg)</t>
  </si>
  <si>
    <t>0682</t>
  </si>
  <si>
    <t xml:space="preserve"> 100939000001390410181473</t>
  </si>
  <si>
    <t>KCl Inj (20 mEq/10 ml)</t>
  </si>
  <si>
    <t>0259</t>
  </si>
  <si>
    <t>778794</t>
  </si>
  <si>
    <t>100939000004493120381621</t>
  </si>
  <si>
    <t>KCl Tab (500 mg)</t>
  </si>
  <si>
    <t>1740</t>
  </si>
  <si>
    <t>618450</t>
  </si>
  <si>
    <t>100934000001650130581078</t>
  </si>
  <si>
    <t>Lactulose solution Syr</t>
  </si>
  <si>
    <t>Bottle (100ml)</t>
  </si>
  <si>
    <t>1035</t>
  </si>
  <si>
    <t>365599</t>
  </si>
  <si>
    <t>214040100017841120181496</t>
  </si>
  <si>
    <t xml:space="preserve">Levodopa+Benserazide Cap (125 mg) </t>
  </si>
  <si>
    <t xml:space="preserve">DKSH   </t>
  </si>
  <si>
    <t>1036</t>
  </si>
  <si>
    <t>365552</t>
  </si>
  <si>
    <t>214040100018067120381496</t>
  </si>
  <si>
    <t xml:space="preserve">Levodopa+Benserazide Cap (250 mg)  </t>
  </si>
  <si>
    <t>BLH (M&amp;H) 10x10's</t>
  </si>
  <si>
    <t>2263</t>
  </si>
  <si>
    <t>124888000004493120381506</t>
  </si>
  <si>
    <t>Levofloxacin Tab (500 mg)</t>
  </si>
  <si>
    <t>0134</t>
  </si>
  <si>
    <t>689147</t>
  </si>
  <si>
    <t>101485255003032120381457</t>
  </si>
  <si>
    <t>Levo-Thyroxine Tab (0.10 mg)</t>
  </si>
  <si>
    <t>1787</t>
  </si>
  <si>
    <t>791477</t>
  </si>
  <si>
    <t>100558000002090440281597</t>
  </si>
  <si>
    <t>Lidocain 2% Jell gel 30g</t>
  </si>
  <si>
    <t>gel</t>
  </si>
  <si>
    <t>สปส</t>
  </si>
  <si>
    <t>0460</t>
  </si>
  <si>
    <t>100558000000920910181506</t>
  </si>
  <si>
    <t>Lidocaine 2%HCl Inj (20 ml)</t>
  </si>
  <si>
    <t>1561</t>
  </si>
  <si>
    <t>769528</t>
  </si>
  <si>
    <t>100558000003623141781597</t>
  </si>
  <si>
    <t>Lidocaine spray 10%  (10 mg) 50 ml</t>
  </si>
  <si>
    <t>2120</t>
  </si>
  <si>
    <t>100825051004320120181445</t>
  </si>
  <si>
    <t>Lithium Cap (500 mg)</t>
  </si>
  <si>
    <t>0713</t>
  </si>
  <si>
    <t>360191</t>
  </si>
  <si>
    <t>101239000003361120381551</t>
  </si>
  <si>
    <t>Loperamide Cap (2 mg)</t>
  </si>
  <si>
    <t>1180</t>
  </si>
  <si>
    <t>100025000003620120381506</t>
  </si>
  <si>
    <t>Loratadine Tab ( 10 mg)</t>
  </si>
  <si>
    <t>0207</t>
  </si>
  <si>
    <t>462294</t>
  </si>
  <si>
    <t>100864000003211220381445</t>
  </si>
  <si>
    <t>Lorazepam Tab (0.50 mg)</t>
  </si>
  <si>
    <t>Masa Lab</t>
  </si>
  <si>
    <t>0208</t>
  </si>
  <si>
    <t>462315</t>
  </si>
  <si>
    <t>100864000003281120381445</t>
  </si>
  <si>
    <t>Lorazepam Tab (1 mg)</t>
  </si>
  <si>
    <t>1729</t>
  </si>
  <si>
    <t>114080</t>
  </si>
  <si>
    <t>124889000003850121781421</t>
  </si>
  <si>
    <t>LoSARTAN Tab (50 mg)</t>
  </si>
  <si>
    <t>0064</t>
  </si>
  <si>
    <t>761220</t>
  </si>
  <si>
    <t>100944094001320710181625</t>
  </si>
  <si>
    <t>Magnesium sulfate Inj (10 %/10 ml)</t>
  </si>
  <si>
    <t>0513</t>
  </si>
  <si>
    <t>761277</t>
  </si>
  <si>
    <t>100944094001580610181625</t>
  </si>
  <si>
    <t>Magnesium sulfate Inj (50 %/2 ml)</t>
  </si>
  <si>
    <t>0053</t>
  </si>
  <si>
    <t>147212</t>
  </si>
  <si>
    <t>101468006001171210181539</t>
  </si>
  <si>
    <t>Medroxyprogesterone Inj (150 mg/3 ml)</t>
  </si>
  <si>
    <t>0132</t>
  </si>
  <si>
    <t>374343</t>
  </si>
  <si>
    <t>101434000004493120381179</t>
  </si>
  <si>
    <t>Metformin Tab (500 mg)</t>
  </si>
  <si>
    <t>1247</t>
  </si>
  <si>
    <t>459215</t>
  </si>
  <si>
    <t>101489000003521120381457</t>
  </si>
  <si>
    <t>Methimazole Tab (5 mg)</t>
  </si>
  <si>
    <t>0052</t>
  </si>
  <si>
    <t>147933</t>
  </si>
  <si>
    <t>100328000003400120381178</t>
  </si>
  <si>
    <t xml:space="preserve">Methotrexate Tab (2.50 mg) </t>
  </si>
  <si>
    <t>2048</t>
  </si>
  <si>
    <t>100598000004293220381247</t>
  </si>
  <si>
    <t>Methyldopa Tab (250 mg)</t>
  </si>
  <si>
    <t>Siam</t>
  </si>
  <si>
    <t>0178</t>
  </si>
  <si>
    <t>761347</t>
  </si>
  <si>
    <t>101515438000410610181592</t>
  </si>
  <si>
    <t>Methylergometrine Inj (0.20 mg)</t>
  </si>
  <si>
    <t>2685</t>
  </si>
  <si>
    <t>180021000003620120381414</t>
  </si>
  <si>
    <t>MethylPhenidate Tab (10 mg)</t>
  </si>
  <si>
    <t>0160</t>
  </si>
  <si>
    <t>569975</t>
  </si>
  <si>
    <t>101322000000700210181506</t>
  </si>
  <si>
    <t>Metoclopramide Inj (10 mg/2 ml)</t>
  </si>
  <si>
    <t>0161</t>
  </si>
  <si>
    <t>367690</t>
  </si>
  <si>
    <t>101322000003620120381625</t>
  </si>
  <si>
    <t>Metoclopramide Tab (10 mg)</t>
  </si>
  <si>
    <t>0996</t>
  </si>
  <si>
    <t>272891</t>
  </si>
  <si>
    <t>100440000004021220381079</t>
  </si>
  <si>
    <t xml:space="preserve">Metoprolol Tab (100 mg) </t>
  </si>
  <si>
    <t>0445</t>
  </si>
  <si>
    <t>570174</t>
  </si>
  <si>
    <t>100275000000700110181185</t>
  </si>
  <si>
    <t>Metronidazole Inj (500 mg/100 ml)</t>
  </si>
  <si>
    <t>0472</t>
  </si>
  <si>
    <t>376624</t>
  </si>
  <si>
    <t>100275000004410220381252</t>
  </si>
  <si>
    <t>Metronidazole Tab (400 mg)</t>
  </si>
  <si>
    <t>1845</t>
  </si>
  <si>
    <t>460126</t>
  </si>
  <si>
    <t>100798000003620120381189</t>
  </si>
  <si>
    <t xml:space="preserve">Mianserin HCl Tab (10 mg)  </t>
  </si>
  <si>
    <t>271</t>
  </si>
  <si>
    <t>100863000003520110114190</t>
  </si>
  <si>
    <t>Midazolam Inj. (5 mg/ml)</t>
  </si>
  <si>
    <t>0671</t>
  </si>
  <si>
    <t>101329000003092120381735</t>
  </si>
  <si>
    <t>Misoprostol Tab (200 mcg)</t>
  </si>
  <si>
    <t>1302</t>
  </si>
  <si>
    <t>657769</t>
  </si>
  <si>
    <t>101445149134990210181184</t>
  </si>
  <si>
    <t>Mixtard30/70 Inj (1000 Unit/10 IU)</t>
  </si>
  <si>
    <t>Cosma</t>
  </si>
  <si>
    <t>0409</t>
  </si>
  <si>
    <t>657805</t>
  </si>
  <si>
    <t>101445149134990210181020</t>
  </si>
  <si>
    <t>Mixtard30/70 Pen Inj (300 Unit/3 IU)</t>
  </si>
  <si>
    <t>2382</t>
  </si>
  <si>
    <t>110050102184203120181506</t>
  </si>
  <si>
    <t>Molnupiravir Tab (200 mg)</t>
  </si>
  <si>
    <t>0168</t>
  </si>
  <si>
    <t>777322</t>
  </si>
  <si>
    <t>101209000009999930481506</t>
  </si>
  <si>
    <t>MOM  Susp (1.20 gm/15 ml) 60ml</t>
  </si>
  <si>
    <t>0093</t>
  </si>
  <si>
    <t>535924</t>
  </si>
  <si>
    <t>102233280003622110114190</t>
  </si>
  <si>
    <t>Morphine Inj (10 mg)</t>
  </si>
  <si>
    <t>0704</t>
  </si>
  <si>
    <t>535752</t>
  </si>
  <si>
    <t>102233280000590530814190</t>
  </si>
  <si>
    <t>Morphine Syr (10 mg/5 ml)</t>
  </si>
  <si>
    <t>0094</t>
  </si>
  <si>
    <t>670927</t>
  </si>
  <si>
    <t>102233280003771120314190</t>
  </si>
  <si>
    <t>Morphine Tab (10 mg) MST</t>
  </si>
  <si>
    <t>1113</t>
  </si>
  <si>
    <t>102233000003721120281336</t>
  </si>
  <si>
    <t>Morphine Cap (20 mg) Kapanol</t>
  </si>
  <si>
    <t>1647</t>
  </si>
  <si>
    <t>826561</t>
  </si>
  <si>
    <t>100209000002090540681079</t>
  </si>
  <si>
    <t>Mupirocin Oint (2 %) 5g</t>
  </si>
  <si>
    <t>ointment</t>
  </si>
  <si>
    <t>0009</t>
  </si>
  <si>
    <t>521028</t>
  </si>
  <si>
    <t>100770133000450110181175</t>
  </si>
  <si>
    <t>Naloxone Inj (0.40 mg)</t>
  </si>
  <si>
    <t>0736</t>
  </si>
  <si>
    <t>124912000003622110181168</t>
  </si>
  <si>
    <t>Nicardipine Inj (10 mg/10 ml)</t>
  </si>
  <si>
    <t>0015</t>
  </si>
  <si>
    <t>469207</t>
  </si>
  <si>
    <t>100077000004493120381189</t>
  </si>
  <si>
    <t>Niclosamide Tab (500 mg)</t>
  </si>
  <si>
    <t>2334</t>
  </si>
  <si>
    <t>100390000000531310181589</t>
  </si>
  <si>
    <t>Norepinephrine inj. 4 mg/4 ml</t>
  </si>
  <si>
    <t>amp</t>
  </si>
  <si>
    <t>0177</t>
  </si>
  <si>
    <t>448542</t>
  </si>
  <si>
    <t>101475000003521120381185</t>
  </si>
  <si>
    <t>Norethisterone  Tab (5 mg)</t>
  </si>
  <si>
    <t>Pinyo 10x10's</t>
  </si>
  <si>
    <t>0039</t>
  </si>
  <si>
    <t>392368</t>
  </si>
  <si>
    <t>100179000004410220381620</t>
  </si>
  <si>
    <t>Norfloxacin Tab (400 mg)</t>
  </si>
  <si>
    <t>0414</t>
  </si>
  <si>
    <t>399699</t>
  </si>
  <si>
    <t>214060100017798120381169</t>
  </si>
  <si>
    <t xml:space="preserve">NorTRIPtyline Tab (10 mg)  </t>
  </si>
  <si>
    <t>0130</t>
  </si>
  <si>
    <t>663569</t>
  </si>
  <si>
    <t>101445149174990210181421</t>
  </si>
  <si>
    <t>NPH insulin Inj (1000 Unit/10 IU)</t>
  </si>
  <si>
    <t>0435</t>
  </si>
  <si>
    <t>658508</t>
  </si>
  <si>
    <t>101445149174990210181415</t>
  </si>
  <si>
    <t>NPH insulin Penfill Inj (300 Unit/3 IU)</t>
  </si>
  <si>
    <t>0239</t>
  </si>
  <si>
    <t>ไม่มี</t>
  </si>
  <si>
    <t>102111000000190131281040</t>
  </si>
  <si>
    <t>Olive oil  450 ml. Sol</t>
  </si>
  <si>
    <t>Premed</t>
  </si>
  <si>
    <t>0448</t>
  </si>
  <si>
    <t>104721</t>
  </si>
  <si>
    <t>101343000003721120181506</t>
  </si>
  <si>
    <t>Omeprazole Cap (20 mg)</t>
  </si>
  <si>
    <t>1948</t>
  </si>
  <si>
    <t>101343000003840110281179</t>
  </si>
  <si>
    <t xml:space="preserve">Omeprazole inj. </t>
  </si>
  <si>
    <t>0138</t>
  </si>
  <si>
    <t>731481</t>
  </si>
  <si>
    <t>207030110167706121881398</t>
  </si>
  <si>
    <t>Oral contraceptive Tab</t>
  </si>
  <si>
    <t>0172</t>
  </si>
  <si>
    <t>762008</t>
  </si>
  <si>
    <t>201070700019999930781055</t>
  </si>
  <si>
    <t>ORS เด็ก Powder</t>
  </si>
  <si>
    <t>SeaPHarm</t>
  </si>
  <si>
    <t>0171</t>
  </si>
  <si>
    <t>844578</t>
  </si>
  <si>
    <t>ORS ผู้ใหญ่ Powder</t>
  </si>
  <si>
    <t>1816</t>
  </si>
  <si>
    <t>339326</t>
  </si>
  <si>
    <t>140980000003771120181506</t>
  </si>
  <si>
    <t>Oseltamivir Cap (30 mg)</t>
  </si>
  <si>
    <t>1817</t>
  </si>
  <si>
    <t>339374</t>
  </si>
  <si>
    <t>140980000001501120181506</t>
  </si>
  <si>
    <t>Oseltamivir Cap (45 mg)</t>
  </si>
  <si>
    <t>0842</t>
  </si>
  <si>
    <t>339422</t>
  </si>
  <si>
    <t>140980000003972120181506</t>
  </si>
  <si>
    <t>Oseltamivir Cap (75 mg)</t>
  </si>
  <si>
    <t>0179</t>
  </si>
  <si>
    <t>573724</t>
  </si>
  <si>
    <t>101510000004810110181592</t>
  </si>
  <si>
    <t>Oxytocin Inj (10 Unit)</t>
  </si>
  <si>
    <t>รพ.ตระการ</t>
  </si>
  <si>
    <t>0092</t>
  </si>
  <si>
    <t>630190</t>
  </si>
  <si>
    <t>100752000000940330581506</t>
  </si>
  <si>
    <t>Paracetamol Syr (120 mg/5 ml)</t>
  </si>
  <si>
    <t>0091</t>
  </si>
  <si>
    <t>447789</t>
  </si>
  <si>
    <t>100752000004350220381040</t>
  </si>
  <si>
    <t>Paracetamol Tab (325 mg)</t>
  </si>
  <si>
    <t>0004</t>
  </si>
  <si>
    <t>276293</t>
  </si>
  <si>
    <t>100752000004493120381169</t>
  </si>
  <si>
    <t>Paracetamol Tab (500 mg)</t>
  </si>
  <si>
    <t>0196</t>
  </si>
  <si>
    <t>408407</t>
  </si>
  <si>
    <t>100815000003361121881625</t>
  </si>
  <si>
    <t>Perphenazine Tab (2 mg)</t>
  </si>
  <si>
    <t>0197</t>
  </si>
  <si>
    <t>408300</t>
  </si>
  <si>
    <t>100815000003471121781189</t>
  </si>
  <si>
    <t>Perphenazine Tab (4 mg)</t>
  </si>
  <si>
    <t>0198</t>
  </si>
  <si>
    <t>408328</t>
  </si>
  <si>
    <t>100815000003613121781189</t>
  </si>
  <si>
    <t>Perphenazine Tab (8 mg)</t>
  </si>
  <si>
    <t>0095</t>
  </si>
  <si>
    <t>535995</t>
  </si>
  <si>
    <t>130101000003852110114190</t>
  </si>
  <si>
    <t>Pethidine Inj (50 mg)</t>
  </si>
  <si>
    <t>0412</t>
  </si>
  <si>
    <t>660902</t>
  </si>
  <si>
    <t>100150000005840110281473</t>
  </si>
  <si>
    <t>PGS Inj (5 mU)</t>
  </si>
  <si>
    <t>0106</t>
  </si>
  <si>
    <t>742517</t>
  </si>
  <si>
    <t>100867000003910120381506</t>
  </si>
  <si>
    <t>Phenobarbital Tab (60 mg)</t>
  </si>
  <si>
    <t>0108</t>
  </si>
  <si>
    <t>407777</t>
  </si>
  <si>
    <t>100772000004021220181621</t>
  </si>
  <si>
    <t>Phenytoin Cap (100 mg)</t>
  </si>
  <si>
    <t>1111</t>
  </si>
  <si>
    <t>574862</t>
  </si>
  <si>
    <t>100772000001170910181625</t>
  </si>
  <si>
    <t>Phenytoin Inj (250 mg/5 ml)</t>
  </si>
  <si>
    <t>0667</t>
  </si>
  <si>
    <t>313344</t>
  </si>
  <si>
    <t>100772000003850120381602</t>
  </si>
  <si>
    <t>Phenytoin Tab (50 mg)</t>
  </si>
  <si>
    <t>0146</t>
  </si>
  <si>
    <t>522450</t>
  </si>
  <si>
    <t>100348000000921060581289</t>
  </si>
  <si>
    <t>Pilocarpine Eye Drop 2 %/15 ml</t>
  </si>
  <si>
    <t>รพ.50 พรรษา</t>
  </si>
  <si>
    <t>2096</t>
  </si>
  <si>
    <t>140539000003771120381421</t>
  </si>
  <si>
    <t xml:space="preserve">Pioglitazone Tab (30 mg) </t>
  </si>
  <si>
    <t>1152</t>
  </si>
  <si>
    <t>675365</t>
  </si>
  <si>
    <t>102166000001280541081252</t>
  </si>
  <si>
    <t>Povidone Iodine scrub 7.50 %/450 ml</t>
  </si>
  <si>
    <t>0056</t>
  </si>
  <si>
    <t>788788</t>
  </si>
  <si>
    <t>102166000001321441581506</t>
  </si>
  <si>
    <t>Povidone Iodine Sol 10 %/30 ml</t>
  </si>
  <si>
    <t>0005</t>
  </si>
  <si>
    <t>767705</t>
  </si>
  <si>
    <t>Povidone iodine Sol 10 %/450 ml</t>
  </si>
  <si>
    <t>0016</t>
  </si>
  <si>
    <t>415266</t>
  </si>
  <si>
    <t>100075000004511220381553</t>
  </si>
  <si>
    <t>Praziquantel Tab (600 mg)</t>
  </si>
  <si>
    <t>0498</t>
  </si>
  <si>
    <t>417344</t>
  </si>
  <si>
    <t>100455000003361120381189</t>
  </si>
  <si>
    <t>Prazosin Tab (2 mg)</t>
  </si>
  <si>
    <t>0136</t>
  </si>
  <si>
    <t>768581</t>
  </si>
  <si>
    <t>101391000003521120381506</t>
  </si>
  <si>
    <t>PREDnisolone Tab (5 mg)</t>
  </si>
  <si>
    <t>ส.เจริญ</t>
  </si>
  <si>
    <t>0073</t>
  </si>
  <si>
    <t>689255</t>
  </si>
  <si>
    <t>100443000003620120381506</t>
  </si>
  <si>
    <t>Propranolol Tab (10 mg)</t>
  </si>
  <si>
    <t>0133</t>
  </si>
  <si>
    <t>101490000003850120381506</t>
  </si>
  <si>
    <t>PTU</t>
  </si>
  <si>
    <t>0394</t>
  </si>
  <si>
    <t>737199</t>
  </si>
  <si>
    <t>100221000004493120381506</t>
  </si>
  <si>
    <t>Pyrazinamide tab (500 mg)</t>
  </si>
  <si>
    <t>2149</t>
  </si>
  <si>
    <t>669450</t>
  </si>
  <si>
    <t>101564000056604110181272</t>
  </si>
  <si>
    <t>Rabies Vaccine Inj</t>
  </si>
  <si>
    <t>Biovalys</t>
  </si>
  <si>
    <t>1745</t>
  </si>
  <si>
    <t>Remdesivir Inj (100 mg)</t>
  </si>
  <si>
    <t>0131</t>
  </si>
  <si>
    <t>657920</t>
  </si>
  <si>
    <t>101445149004990210181020</t>
  </si>
  <si>
    <t>RI insulin Inj (100 Unit)</t>
  </si>
  <si>
    <t>0392</t>
  </si>
  <si>
    <t>429093</t>
  </si>
  <si>
    <t>100212000004320120181506</t>
  </si>
  <si>
    <t>Rifampicin Cap (300 mg)</t>
  </si>
  <si>
    <t>capsule</t>
  </si>
  <si>
    <t>cap</t>
  </si>
  <si>
    <t>0393</t>
  </si>
  <si>
    <t>737217</t>
  </si>
  <si>
    <t>100212000004461120181506</t>
  </si>
  <si>
    <t>Rifampicin Cap (450 mg)</t>
  </si>
  <si>
    <t>2597</t>
  </si>
  <si>
    <t>12492900000053130881506</t>
  </si>
  <si>
    <t>Risperidone Syr (1mg/1ml)</t>
  </si>
  <si>
    <t>Bot 30</t>
  </si>
  <si>
    <t>1927</t>
  </si>
  <si>
    <t>737238</t>
  </si>
  <si>
    <t>124929000003281121781506</t>
  </si>
  <si>
    <t xml:space="preserve">Risperidone Tab (1 mg) </t>
  </si>
  <si>
    <t>1758</t>
  </si>
  <si>
    <t>737255</t>
  </si>
  <si>
    <t>124929000003361121781506</t>
  </si>
  <si>
    <t xml:space="preserve">Risperidone Tab (2 mg) </t>
  </si>
  <si>
    <t>0240</t>
  </si>
  <si>
    <t>767831</t>
  </si>
  <si>
    <t>211010110049999910181474</t>
  </si>
  <si>
    <t>RLS Inj (1000 ml)</t>
  </si>
  <si>
    <t>0023</t>
  </si>
  <si>
    <t>469160</t>
  </si>
  <si>
    <t>100143000004121120381189</t>
  </si>
  <si>
    <t>Roxithromycin Tab (150 mg)</t>
  </si>
  <si>
    <t>0487</t>
  </si>
  <si>
    <t>527190</t>
  </si>
  <si>
    <t>100409000000700170781057</t>
  </si>
  <si>
    <t>Salbutamol Inh Sol (100 mg/20ml)</t>
  </si>
  <si>
    <t>Greater Mybacin</t>
  </si>
  <si>
    <t>0212</t>
  </si>
  <si>
    <t>666173</t>
  </si>
  <si>
    <t>100409000003040370581602</t>
  </si>
  <si>
    <t>Salbutamol MDI (0.10 mg)</t>
  </si>
  <si>
    <t>0214</t>
  </si>
  <si>
    <t>666945</t>
  </si>
  <si>
    <t>100409000000450230581506</t>
  </si>
  <si>
    <t>Salbutamol Syr (2 mg/5 ml)</t>
  </si>
  <si>
    <t>0180</t>
  </si>
  <si>
    <t>436351</t>
  </si>
  <si>
    <t>100409000003361120381506</t>
  </si>
  <si>
    <t>Salbutamol Tab (2 mg)</t>
  </si>
  <si>
    <t>0473</t>
  </si>
  <si>
    <t>654386</t>
  </si>
  <si>
    <t>204050100067288141581240</t>
  </si>
  <si>
    <t>Salicylic acid Sol (16.7 %/15 )</t>
  </si>
  <si>
    <t>1782</t>
  </si>
  <si>
    <t>816633</t>
  </si>
  <si>
    <t>218030610028527170581323</t>
  </si>
  <si>
    <t>Salmeterol+Fluticasone MDI(25/125)</t>
  </si>
  <si>
    <t>Healol</t>
  </si>
  <si>
    <t>1930</t>
  </si>
  <si>
    <t>737293</t>
  </si>
  <si>
    <t>123897133003850121781506</t>
  </si>
  <si>
    <t xml:space="preserve">Sertraline Tab (50 mg) </t>
  </si>
  <si>
    <t>0284</t>
  </si>
  <si>
    <t>762031</t>
  </si>
  <si>
    <t>100286000002040640181079</t>
  </si>
  <si>
    <t>Silver sulfadiazine Cream (1 %/25 gm)</t>
  </si>
  <si>
    <t>cream</t>
  </si>
  <si>
    <t>2134</t>
  </si>
  <si>
    <t>101254000051230130481078</t>
  </si>
  <si>
    <t>Simethicone Drop</t>
  </si>
  <si>
    <t>bot</t>
  </si>
  <si>
    <t>1473</t>
  </si>
  <si>
    <t>442616</t>
  </si>
  <si>
    <t>101254000053991120381079</t>
  </si>
  <si>
    <t>Simethicone Tab (80 mg)</t>
  </si>
  <si>
    <t>Rx</t>
  </si>
  <si>
    <t>0499</t>
  </si>
  <si>
    <t>117618</t>
  </si>
  <si>
    <t>105573000003721121781506</t>
  </si>
  <si>
    <t>SimvaSTATIN Tab (20 mg)</t>
  </si>
  <si>
    <t>0154</t>
  </si>
  <si>
    <t>827871</t>
  </si>
  <si>
    <t>100926000004320120381067</t>
  </si>
  <si>
    <t>Sodamint Tab (300 mg)</t>
  </si>
  <si>
    <t>0242</t>
  </si>
  <si>
    <t>768762</t>
  </si>
  <si>
    <t>100926000001280210181625</t>
  </si>
  <si>
    <t>Sodium bicarbonate Inj (7.50 %/50 ml)</t>
  </si>
  <si>
    <t>2222</t>
  </si>
  <si>
    <t xml:space="preserve"> 100942000004320120381620</t>
  </si>
  <si>
    <t xml:space="preserve">Sodium Chloride Tab ( 300 mg) </t>
  </si>
  <si>
    <t>0463</t>
  </si>
  <si>
    <t>346585</t>
  </si>
  <si>
    <t>101048000003750120381421</t>
  </si>
  <si>
    <t>Spironolactone Tab (25 mg)</t>
  </si>
  <si>
    <t>0424</t>
  </si>
  <si>
    <t>816717</t>
  </si>
  <si>
    <t>102185165000000010181673</t>
  </si>
  <si>
    <t>Sterile water for inj. Inj 10ml</t>
  </si>
  <si>
    <t>2136</t>
  </si>
  <si>
    <t>102185165000000010181474</t>
  </si>
  <si>
    <t>Sterile water for inj. Inj 1000ml</t>
  </si>
  <si>
    <t>2274</t>
  </si>
  <si>
    <t>107595</t>
  </si>
  <si>
    <t>100552000005760110281273</t>
  </si>
  <si>
    <t>Streptokinase Inj. 1,500,000 iu</t>
  </si>
  <si>
    <t>0431</t>
  </si>
  <si>
    <t>579141</t>
  </si>
  <si>
    <t>100096000002722110281473</t>
  </si>
  <si>
    <t>Streptomycin Inj. (1 g)</t>
  </si>
  <si>
    <t>2019</t>
  </si>
  <si>
    <t>101331000001460230481247</t>
  </si>
  <si>
    <t>Sucralfate Tab (1 g)</t>
  </si>
  <si>
    <t>2747</t>
  </si>
  <si>
    <t>144334999003750121781622</t>
  </si>
  <si>
    <t>Tenofovir alafenamide Tab (25 mg)</t>
  </si>
  <si>
    <t>Atlanta</t>
  </si>
  <si>
    <t>0182</t>
  </si>
  <si>
    <t>761922</t>
  </si>
  <si>
    <t>100419280000460210181506</t>
  </si>
  <si>
    <t>Terbutaline Inj (0.50 mg)</t>
  </si>
  <si>
    <t>0181</t>
  </si>
  <si>
    <t>697713</t>
  </si>
  <si>
    <t>100419280003400120381169</t>
  </si>
  <si>
    <t>Terbutaline Tab (2.50 mg)</t>
  </si>
  <si>
    <t>2252</t>
  </si>
  <si>
    <t>779733</t>
  </si>
  <si>
    <t>101530000016240210181272</t>
  </si>
  <si>
    <t>TEtanus immunoglobulin Inj (250 Unit)</t>
  </si>
  <si>
    <t>Biogenetech</t>
  </si>
  <si>
    <t>3102</t>
  </si>
  <si>
    <t>763821</t>
  </si>
  <si>
    <t>101180133000700160581289</t>
  </si>
  <si>
    <t>Tetracaine eye drop 0.5%</t>
  </si>
  <si>
    <t>ml</t>
  </si>
  <si>
    <t>0413</t>
  </si>
  <si>
    <t>530759</t>
  </si>
  <si>
    <t>219010700017054160581398</t>
  </si>
  <si>
    <t>Tetrahydrozoline Cpd Eye Drop 10 ml</t>
  </si>
  <si>
    <t>0215</t>
  </si>
  <si>
    <t>457229</t>
  </si>
  <si>
    <t>101832000004203120581185</t>
  </si>
  <si>
    <t>Theophylline SR Tab (200 mg)</t>
  </si>
  <si>
    <t>0201</t>
  </si>
  <si>
    <t>458246</t>
  </si>
  <si>
    <t>100818000004021221881189</t>
  </si>
  <si>
    <t>Thioridazine  Tab (100 mg)</t>
  </si>
  <si>
    <t>0199</t>
  </si>
  <si>
    <t>428130</t>
  </si>
  <si>
    <t>100818000003750121881625</t>
  </si>
  <si>
    <t>Thioridazine  Tab (25 mg)</t>
  </si>
  <si>
    <t>0475</t>
  </si>
  <si>
    <t>458267</t>
  </si>
  <si>
    <t>100818000003850121881189</t>
  </si>
  <si>
    <t>Thioridazine  Tab (50 mg)</t>
  </si>
  <si>
    <t>0449</t>
  </si>
  <si>
    <t>530645</t>
  </si>
  <si>
    <t>100437000000700160581084</t>
  </si>
  <si>
    <t>Timolol Eye Drop (0.50 %/)</t>
  </si>
  <si>
    <t>0440</t>
  </si>
  <si>
    <t>344502</t>
  </si>
  <si>
    <t>100751000003850120181620</t>
  </si>
  <si>
    <t>Tramadol Cap (50 mg)</t>
  </si>
  <si>
    <t>Medicpharma</t>
  </si>
  <si>
    <t>2278</t>
  </si>
  <si>
    <t>581233</t>
  </si>
  <si>
    <t>100751000001171210181592</t>
  </si>
  <si>
    <t>Tramadol inj. (50 mg/2 ml)</t>
  </si>
  <si>
    <t>TP drugs</t>
  </si>
  <si>
    <t>1991</t>
  </si>
  <si>
    <t>100539012004293220181079</t>
  </si>
  <si>
    <t>Tranexamic acid Cap (250 mg)</t>
  </si>
  <si>
    <t>0701</t>
  </si>
  <si>
    <t>791735</t>
  </si>
  <si>
    <t>100779133003850120381189</t>
  </si>
  <si>
    <t xml:space="preserve">Trazodone Tab (50 mg) </t>
  </si>
  <si>
    <t>0125</t>
  </si>
  <si>
    <t>825969</t>
  </si>
  <si>
    <t>101174009001800140181620</t>
  </si>
  <si>
    <t>Triamcinolone Cream (0.02 %/5 )</t>
  </si>
  <si>
    <t>0124</t>
  </si>
  <si>
    <t>671990</t>
  </si>
  <si>
    <t>101174009001900240181113</t>
  </si>
  <si>
    <t>Triamcinolone Cream (0.10 %/5 )</t>
  </si>
  <si>
    <t>0137</t>
  </si>
  <si>
    <t>664638</t>
  </si>
  <si>
    <t>101174009000801210181592</t>
  </si>
  <si>
    <t>Triamcinolone Inj (10 mg)</t>
  </si>
  <si>
    <t>2106</t>
  </si>
  <si>
    <t>786430</t>
  </si>
  <si>
    <t>101174000000530240481078</t>
  </si>
  <si>
    <t>Triamcinolone lotion (0.10 % )</t>
  </si>
  <si>
    <t>0116</t>
  </si>
  <si>
    <t>786371</t>
  </si>
  <si>
    <t>101174009001900250281618</t>
  </si>
  <si>
    <t>Triamcinolone Oral paste (1 gm)</t>
  </si>
  <si>
    <t>0200</t>
  </si>
  <si>
    <t>526183</t>
  </si>
  <si>
    <t>101191000000801260581289</t>
  </si>
  <si>
    <t>Tropicamide Eye Drop 1 %/15ml (Mydriacyl)</t>
  </si>
  <si>
    <t>2037</t>
  </si>
  <si>
    <t>652469</t>
  </si>
  <si>
    <t>101760000002300140181113</t>
  </si>
  <si>
    <t xml:space="preserve">Urea cream 20% 35 g </t>
  </si>
  <si>
    <t>บางกอกดรักส์</t>
  </si>
  <si>
    <t>0959</t>
  </si>
  <si>
    <t>841395</t>
  </si>
  <si>
    <t>100776255004203120481175</t>
  </si>
  <si>
    <t>Valproic acid Sodium Tab (200 mg)</t>
  </si>
  <si>
    <t>0847</t>
  </si>
  <si>
    <t>644649</t>
  </si>
  <si>
    <t>100776255004493121781043</t>
  </si>
  <si>
    <t>Valproic acid Sodium Tab (500 mg) SR</t>
  </si>
  <si>
    <t>0437</t>
  </si>
  <si>
    <t>110998</t>
  </si>
  <si>
    <t>100670000003841120381081</t>
  </si>
  <si>
    <t>Verapamil Tab (40 mg)</t>
  </si>
  <si>
    <t>2158</t>
  </si>
  <si>
    <t>101873000003850120381189</t>
  </si>
  <si>
    <t>Vit B6 (50mg) tab</t>
  </si>
  <si>
    <t>1785</t>
  </si>
  <si>
    <t>580189</t>
  </si>
  <si>
    <t>101875000001320710181634</t>
  </si>
  <si>
    <t>Vitamin B1 Inj (100 mg)</t>
  </si>
  <si>
    <t>2022</t>
  </si>
  <si>
    <t>475423</t>
  </si>
  <si>
    <t>101875000004021220381122</t>
  </si>
  <si>
    <t>Vitamin B1 Tab  (100 mg)</t>
  </si>
  <si>
    <t>0248</t>
  </si>
  <si>
    <t>716474</t>
  </si>
  <si>
    <t>201110510019999920381169</t>
  </si>
  <si>
    <t>Vitamin B co Tab</t>
  </si>
  <si>
    <t>0831</t>
  </si>
  <si>
    <t>822564</t>
  </si>
  <si>
    <t>101895000004021220381625</t>
  </si>
  <si>
    <t>Vitamin C Tab (100 mg)</t>
  </si>
  <si>
    <t>0060</t>
  </si>
  <si>
    <t>575075</t>
  </si>
  <si>
    <t>101916000000590910181153</t>
  </si>
  <si>
    <t>Vitamin K1 Inj (1 mg)</t>
  </si>
  <si>
    <t>0061</t>
  </si>
  <si>
    <t>769350</t>
  </si>
  <si>
    <t>101916000000801210181625</t>
  </si>
  <si>
    <t>Vitamin K1 Inj (10 mg)</t>
  </si>
  <si>
    <t>0402</t>
  </si>
  <si>
    <t>108128</t>
  </si>
  <si>
    <t>102222255003361120381457</t>
  </si>
  <si>
    <t>Warfarin Tab (2 mg)</t>
  </si>
  <si>
    <t>0478</t>
  </si>
  <si>
    <t>108185</t>
  </si>
  <si>
    <t>102222255003421120381457</t>
  </si>
  <si>
    <t>Warfarin Tab (3 mg)</t>
  </si>
  <si>
    <t>0405</t>
  </si>
  <si>
    <t>108354</t>
  </si>
  <si>
    <t>102222255003521120381457</t>
  </si>
  <si>
    <t>Warfarin Tab (5 mg)</t>
  </si>
  <si>
    <t>0128</t>
  </si>
  <si>
    <t>779923</t>
  </si>
  <si>
    <t>102185165000000041681474</t>
  </si>
  <si>
    <t>Water for irrgate 1,000 ml Sol</t>
  </si>
  <si>
    <t>0410</t>
  </si>
  <si>
    <t>641690</t>
  </si>
  <si>
    <t>100228000000801230581506</t>
  </si>
  <si>
    <t>Zidovudine syr.60 ml (50mg/5ml)</t>
  </si>
  <si>
    <t>syrub</t>
  </si>
  <si>
    <t>2435</t>
  </si>
  <si>
    <t>101171779002190140181457</t>
  </si>
  <si>
    <t>Zinc paste ( 5 g)</t>
  </si>
  <si>
    <t>0843</t>
  </si>
  <si>
    <t>775785</t>
  </si>
  <si>
    <t>141138987049999910181528</t>
  </si>
  <si>
    <t>เซรุ่มงูกะปะ Inj (10 ml)</t>
  </si>
  <si>
    <t>2308</t>
  </si>
  <si>
    <t>762229</t>
  </si>
  <si>
    <t>141138996009999910181528</t>
  </si>
  <si>
    <t>เซรุ่มงูเขียวหางไหม้ Inj (10 ml)</t>
  </si>
  <si>
    <t>0490</t>
  </si>
  <si>
    <t>762293</t>
  </si>
  <si>
    <t>141138997009999910181528</t>
  </si>
  <si>
    <t>เซรุ่มงูเห่า Inj (10 ml)</t>
  </si>
  <si>
    <t>148007000009999910181528</t>
  </si>
  <si>
    <t xml:space="preserve">เซรุ่มรวมพิษต่อระบบเลือด </t>
  </si>
  <si>
    <t>กรอบยา Refer เขต 10</t>
  </si>
  <si>
    <t>0468</t>
  </si>
  <si>
    <t>100099000003852110281020</t>
  </si>
  <si>
    <t>Amphotericin B inj. (50 mg)</t>
  </si>
  <si>
    <t>Injfection</t>
  </si>
  <si>
    <t>1283</t>
  </si>
  <si>
    <t>124824000004293220181506</t>
  </si>
  <si>
    <t>Azithromycin Cap (250 mg)</t>
  </si>
  <si>
    <t>1168</t>
  </si>
  <si>
    <t>100475000003620120381445</t>
  </si>
  <si>
    <t>Baclofen Tab (10 mg)</t>
  </si>
  <si>
    <t xml:space="preserve">Tablet </t>
  </si>
  <si>
    <t>2170</t>
  </si>
  <si>
    <t>218030710017386370581307</t>
  </si>
  <si>
    <t>Berodual MDI</t>
  </si>
  <si>
    <t>200 dose</t>
  </si>
  <si>
    <t>2233</t>
  </si>
  <si>
    <t>218030410017668370681597</t>
  </si>
  <si>
    <t>Budesonide/Formoterol DPI (160/4.5)</t>
  </si>
  <si>
    <t>DPI</t>
  </si>
  <si>
    <t>60 dose</t>
  </si>
  <si>
    <t>1947</t>
  </si>
  <si>
    <t>100180000000590110181175</t>
  </si>
  <si>
    <t>Ciprofloxacin Inj, (200 mg)</t>
  </si>
  <si>
    <t>1185</t>
  </si>
  <si>
    <t>210010500017521110181625</t>
  </si>
  <si>
    <t>Cotrimoxazole Inj.</t>
  </si>
  <si>
    <t>1989</t>
  </si>
  <si>
    <t>124944255011190110181494</t>
  </si>
  <si>
    <t>Enoxaparin 0.6ml Inj</t>
  </si>
  <si>
    <t>cartridge</t>
  </si>
  <si>
    <t>1969</t>
  </si>
  <si>
    <t>100582000004021220181187</t>
  </si>
  <si>
    <t>Fenofibrate 200 mg Cap</t>
  </si>
  <si>
    <t>30's</t>
  </si>
  <si>
    <t>2005</t>
  </si>
  <si>
    <t>124904000003620121781506</t>
  </si>
  <si>
    <t>Montelukast Tab (10 mg)</t>
  </si>
  <si>
    <t>2169</t>
  </si>
  <si>
    <t>142134204006532120181423</t>
  </si>
  <si>
    <t>Tiotropium 18 mcg/cap</t>
  </si>
  <si>
    <t>Handihaler</t>
  </si>
  <si>
    <t>30 dose</t>
  </si>
  <si>
    <t>กรอบยาออก OPD แพทย์เฉพาะทาง</t>
  </si>
  <si>
    <t>855411</t>
  </si>
  <si>
    <t>101906000002830121181463</t>
  </si>
  <si>
    <t>Calcitriol (0.25 mcg)  Cap</t>
  </si>
  <si>
    <t>สืบ</t>
  </si>
  <si>
    <t>3173</t>
  </si>
  <si>
    <t>148566000003750121782816</t>
  </si>
  <si>
    <t>Cinnacalcet (25 mg) tab</t>
  </si>
  <si>
    <t>100325000003750121181414</t>
  </si>
  <si>
    <t>Ciclosporin (25 mg) cap</t>
  </si>
  <si>
    <t>109650133003721120381470</t>
  </si>
  <si>
    <t>Manidipine (20 mg) Tab</t>
  </si>
  <si>
    <t>124313488004293220181421</t>
  </si>
  <si>
    <t>Mycophenolate mofetil  (250 mg) cap</t>
  </si>
  <si>
    <t>100245000004493120381625</t>
  </si>
  <si>
    <t xml:space="preserve">Sulfazalasine (500) tab </t>
  </si>
  <si>
    <t>101901000005490120181288</t>
  </si>
  <si>
    <t>Vitamin D2 (20,000 unit) cap</t>
  </si>
  <si>
    <t>1972</t>
  </si>
  <si>
    <t>124734000000920410181020</t>
  </si>
  <si>
    <t>Iron sucrose (100 mg/5 ml) Femorum</t>
  </si>
  <si>
    <t>GIS</t>
  </si>
  <si>
    <t>2782</t>
  </si>
  <si>
    <t>196104000003991121782930</t>
  </si>
  <si>
    <t>Febuxostat Tab (80 mg)</t>
  </si>
  <si>
    <t>3181</t>
  </si>
  <si>
    <t>124345000000590760582813</t>
  </si>
  <si>
    <t>Alphagan (อัลฟาแกน) Brimonidine tartrate eye drop</t>
  </si>
  <si>
    <t>3180</t>
  </si>
  <si>
    <t>219010520087553160981289</t>
  </si>
  <si>
    <t>Azarga eye drops (brinzolamide + timolol)</t>
  </si>
  <si>
    <t>Zuellig - Alcon</t>
  </si>
  <si>
    <t>494</t>
  </si>
  <si>
    <t>124885000000330460581646</t>
  </si>
  <si>
    <t>Latanoprost eye drop</t>
  </si>
  <si>
    <t>1953</t>
  </si>
  <si>
    <t>124893000002620110281597</t>
  </si>
  <si>
    <t>Meropenem Inj. (1 g)</t>
  </si>
  <si>
    <t>3179</t>
  </si>
  <si>
    <t>122514000000801260281289</t>
  </si>
  <si>
    <t>Brinzolamide 1% eye drop (Azopt)</t>
  </si>
  <si>
    <t>2165</t>
  </si>
  <si>
    <t>Magnesium Sulfate dry syrub (20mEq/5 ml)</t>
  </si>
  <si>
    <t>1747</t>
  </si>
  <si>
    <t>210012440017599110281739</t>
  </si>
  <si>
    <t>Imipenem + Cisplatin (Tienem) inj. (500 mg)</t>
  </si>
  <si>
    <t>1565</t>
  </si>
  <si>
    <t>210010420038417110281247</t>
  </si>
  <si>
    <t>Sulperazone (Cefoperazone+salbactam) inj. (1 g)</t>
  </si>
  <si>
    <t>2217</t>
  </si>
  <si>
    <t>210012490017494210281329</t>
  </si>
  <si>
    <t>Piperacillin/Tazobactam Inj. (4/0.5g)</t>
  </si>
  <si>
    <t>2091</t>
  </si>
  <si>
    <t>102163000000660360581469</t>
  </si>
  <si>
    <t>Hypromellose 0.3% (10ml) น้ำตาเทียม</t>
  </si>
  <si>
    <t>3182</t>
  </si>
  <si>
    <t>101716000000531360581531</t>
  </si>
  <si>
    <t>FluoroMetholone eye drop</t>
  </si>
  <si>
    <t>ยาสมุนไพรในบัญชียาหลักแห่งชาติ</t>
  </si>
  <si>
    <t>0263</t>
  </si>
  <si>
    <t>410000000109125020110951</t>
  </si>
  <si>
    <t>ขมิ้นชัน Cap</t>
  </si>
  <si>
    <t>ต</t>
  </si>
  <si>
    <t>ธงทอง</t>
  </si>
  <si>
    <t>2419</t>
  </si>
  <si>
    <t>410000000389301840182758</t>
  </si>
  <si>
    <t>ครีมพญายอ Cream (5 %/10g )</t>
  </si>
  <si>
    <t>DCH Auriga</t>
  </si>
  <si>
    <t>0664</t>
  </si>
  <si>
    <t>410000000230000020110951</t>
  </si>
  <si>
    <t>เถาวัลย์เปรียงแคปซูล (180 mg)</t>
  </si>
  <si>
    <t>2486</t>
  </si>
  <si>
    <t>420000005029601440611091</t>
  </si>
  <si>
    <t>ครีมไพล 30 กรัม</t>
  </si>
  <si>
    <t>0261</t>
  </si>
  <si>
    <t>410000000449145020110664</t>
  </si>
  <si>
    <t>เพชรสังฆาต Cap</t>
  </si>
  <si>
    <t>0262</t>
  </si>
  <si>
    <t>410000000479125020110951</t>
  </si>
  <si>
    <t>ฟ้าทะลายโจร Cap</t>
  </si>
  <si>
    <t>Thai FD</t>
  </si>
  <si>
    <t>2443</t>
  </si>
  <si>
    <t>420000001549505094782748</t>
  </si>
  <si>
    <t>ยาแก้ไอผสมมะขามป้อม (120 ml)</t>
  </si>
  <si>
    <t>2359</t>
  </si>
  <si>
    <t>420000001989145020182742</t>
  </si>
  <si>
    <t>ยาเขียวหอม</t>
  </si>
  <si>
    <t>เจริญสุข 50's</t>
  </si>
  <si>
    <t>0265</t>
  </si>
  <si>
    <t>42000000649200234110951</t>
  </si>
  <si>
    <t>ยาชงหญ้าหนวดแมว</t>
  </si>
  <si>
    <t>2354</t>
  </si>
  <si>
    <t>420000005089209094110951</t>
  </si>
  <si>
    <t>ยาต้มบำรุงสตรีหลังคลอด</t>
  </si>
  <si>
    <t>ห่อ</t>
  </si>
  <si>
    <t>1393</t>
  </si>
  <si>
    <t>420000002370000020111091</t>
  </si>
  <si>
    <t>ยาตรีผลา แคปซูล</t>
  </si>
  <si>
    <t>2466</t>
  </si>
  <si>
    <t>420000014789150020111091</t>
  </si>
  <si>
    <t xml:space="preserve">ยาทำลายพระสุเมรุ </t>
  </si>
  <si>
    <t>2314</t>
  </si>
  <si>
    <t>420000002860000094510951</t>
  </si>
  <si>
    <t>ยาธรณีสัณฑะฆาต</t>
  </si>
  <si>
    <t>2360</t>
  </si>
  <si>
    <t>420000003480000020310951</t>
  </si>
  <si>
    <t>ยาบำรุงโลหิต</t>
  </si>
  <si>
    <t>เจริญสุข</t>
  </si>
  <si>
    <t>1394</t>
  </si>
  <si>
    <t>420000003529150020182748</t>
  </si>
  <si>
    <t>ยาเบญจกูล</t>
  </si>
  <si>
    <t>2362</t>
  </si>
  <si>
    <t>420000003990000020110951</t>
  </si>
  <si>
    <t>ยาปราบชมพูทวีป</t>
  </si>
  <si>
    <t>2311</t>
  </si>
  <si>
    <t>420000004000000020110951</t>
  </si>
  <si>
    <t>ยาปลูกไฟธาตุ</t>
  </si>
  <si>
    <t>ธงทอง 3x10's</t>
  </si>
  <si>
    <t>1388</t>
  </si>
  <si>
    <t>420000003950000020110665</t>
  </si>
  <si>
    <t>ยาปะสะไพล</t>
  </si>
  <si>
    <t>0666</t>
  </si>
  <si>
    <t>410000000199200334110951</t>
  </si>
  <si>
    <t>ยาผงชุมเห็ดเทศ Powder</t>
  </si>
  <si>
    <t>1039</t>
  </si>
  <si>
    <t>410000000499133020382791</t>
  </si>
  <si>
    <t>ยาระบายมะขามแขก Senna glycosides (7.5 mg)</t>
  </si>
  <si>
    <t>2289</t>
  </si>
  <si>
    <t>410000000519130020182748</t>
  </si>
  <si>
    <t>ยามะระขี้นก</t>
  </si>
  <si>
    <t>2333</t>
  </si>
  <si>
    <t>420000014769150020111091</t>
  </si>
  <si>
    <t xml:space="preserve">ยาศุขไสยาศน์ </t>
  </si>
  <si>
    <t>2358</t>
  </si>
  <si>
    <t>420000004919125020182748</t>
  </si>
  <si>
    <t>ยาสหัศธารา</t>
  </si>
  <si>
    <t>1395</t>
  </si>
  <si>
    <t>410000000619200134110822</t>
  </si>
  <si>
    <t>ยาหญ้าดอกขาว</t>
  </si>
  <si>
    <t>2294</t>
  </si>
  <si>
    <t>420000006139120020182761</t>
  </si>
  <si>
    <t>ยาหญ้าปักกิ่ง</t>
  </si>
  <si>
    <t>2295</t>
  </si>
  <si>
    <t>420000005160000094510951</t>
  </si>
  <si>
    <t>ยาหอมเทพจิตร - 15 g</t>
  </si>
  <si>
    <t>2363</t>
  </si>
  <si>
    <t>420000005179201594582758</t>
  </si>
  <si>
    <t>ยาหอมนวโกฐ - 15 g</t>
  </si>
  <si>
    <t>2503</t>
  </si>
  <si>
    <t>420000003969125020382748</t>
  </si>
  <si>
    <t>ยาอมประสะมะแว้ง</t>
  </si>
  <si>
    <t>2364</t>
  </si>
  <si>
    <t>420000005390000094510951</t>
  </si>
  <si>
    <t>ยาอำมฤทควาที - 15 g</t>
  </si>
  <si>
    <t>0491</t>
  </si>
  <si>
    <t>420000004480000044210951</t>
  </si>
  <si>
    <t>ลูกประคบ (แห้ง)</t>
  </si>
  <si>
    <t>2439</t>
  </si>
  <si>
    <t>420000002939509894782748</t>
  </si>
  <si>
    <t>ยาธาตุอบเชย 120 ml</t>
  </si>
  <si>
    <t>Mixture</t>
  </si>
  <si>
    <t>2051</t>
  </si>
  <si>
    <t>420000015059501094211091</t>
  </si>
  <si>
    <t>น้ำมันกัญชา 10 ml</t>
  </si>
  <si>
    <t>ชาชงรางจืด</t>
  </si>
  <si>
    <t>ยานอกบัญชียาหลักแห่งชาติ</t>
  </si>
  <si>
    <t>0429</t>
  </si>
  <si>
    <t>801735</t>
  </si>
  <si>
    <t>101108000004201130781592</t>
  </si>
  <si>
    <t>Acetylcysteine 200 mg powder</t>
  </si>
  <si>
    <t>0007</t>
  </si>
  <si>
    <t>726432</t>
  </si>
  <si>
    <t>101208017004300120181331</t>
  </si>
  <si>
    <t>Activated CHARCOAL Cap 260 mg</t>
  </si>
  <si>
    <t>1169</t>
  </si>
  <si>
    <t>597446</t>
  </si>
  <si>
    <t>101105000000920430581606</t>
  </si>
  <si>
    <t>Carbocysteine Syr (100 mg/5ml)</t>
  </si>
  <si>
    <t>bot (60)</t>
  </si>
  <si>
    <t>1150</t>
  </si>
  <si>
    <t>846704</t>
  </si>
  <si>
    <t>101172122001100641081168</t>
  </si>
  <si>
    <t xml:space="preserve">Chlorhexidine4% scrub 450ml Sol </t>
  </si>
  <si>
    <t>2442</t>
  </si>
  <si>
    <t>101981000001390730481540</t>
  </si>
  <si>
    <t>Dioctahedral Smectite (Smecta) 3 g/ซอง</t>
  </si>
  <si>
    <t>0426</t>
  </si>
  <si>
    <t>731343</t>
  </si>
  <si>
    <t>101259255000700160681602</t>
  </si>
  <si>
    <t>Docusate Ear Drop (5 mg)</t>
  </si>
  <si>
    <t>2682</t>
  </si>
  <si>
    <t>100724000001171110181592</t>
  </si>
  <si>
    <t>Ketoprofen inj. (100mg/2ml)</t>
  </si>
  <si>
    <t>0187</t>
  </si>
  <si>
    <t>130526</t>
  </si>
  <si>
    <t>100715000004293220181506</t>
  </si>
  <si>
    <t>Mefenamic acid Cap (250 mg)</t>
  </si>
  <si>
    <t>0245</t>
  </si>
  <si>
    <t>676297</t>
  </si>
  <si>
    <t>201110200019999930681506</t>
  </si>
  <si>
    <t>MTV Syr (60 ml)</t>
  </si>
  <si>
    <t>0246</t>
  </si>
  <si>
    <t>838676</t>
  </si>
  <si>
    <t>201110200019999920381084</t>
  </si>
  <si>
    <t>MTV Tab</t>
  </si>
  <si>
    <t>0075</t>
  </si>
  <si>
    <t>110539</t>
  </si>
  <si>
    <t>100667000003521121181488</t>
  </si>
  <si>
    <t>Nifedipine Cap (5 mg)</t>
  </si>
  <si>
    <t>1465</t>
  </si>
  <si>
    <t>140980000000730130681506</t>
  </si>
  <si>
    <t>Oseltamivir suspension (6 mg/5ml)</t>
  </si>
  <si>
    <t>0480</t>
  </si>
  <si>
    <t>277563</t>
  </si>
  <si>
    <t>100635000004410221981202</t>
  </si>
  <si>
    <t xml:space="preserve">Pentoxifylline Tab (400 mg)  </t>
  </si>
  <si>
    <t>0828</t>
  </si>
  <si>
    <t>366054</t>
  </si>
  <si>
    <t>100836000004410220181078</t>
  </si>
  <si>
    <t xml:space="preserve">Piracetam Cap (400 mg)  </t>
  </si>
  <si>
    <t>0484</t>
  </si>
  <si>
    <t>213030200018276120381078</t>
  </si>
  <si>
    <t>Paracetamol + Orphenadrine Tab (450 mg+35mg)</t>
  </si>
  <si>
    <t>0249</t>
  </si>
  <si>
    <t>770163</t>
  </si>
  <si>
    <t>201110510019999910181084</t>
  </si>
  <si>
    <t>Vitamin B co inj. Inj</t>
  </si>
  <si>
    <t xml:space="preserve">ยา refer </t>
  </si>
  <si>
    <t>147152051004550121781537</t>
  </si>
  <si>
    <t>Sevelamer (800 mg) tab</t>
  </si>
  <si>
    <t>2600</t>
  </si>
  <si>
    <t>213040100028589120381797</t>
  </si>
  <si>
    <t>Pocitrin Tab (Pot.citrate + Sod Citrate)</t>
  </si>
  <si>
    <t>ยาสมุนไพรนอกบัญชียาหลักแห่งชาติ</t>
  </si>
  <si>
    <t>0345</t>
  </si>
  <si>
    <t>420000004869240094110951</t>
  </si>
  <si>
    <t>ยาอบสมุนไพร</t>
  </si>
  <si>
    <t>วัตถุดิบผลิตยาสมุนไพร</t>
  </si>
  <si>
    <t>0573</t>
  </si>
  <si>
    <t>Menthol</t>
  </si>
  <si>
    <t>450 g</t>
  </si>
  <si>
    <t>0527</t>
  </si>
  <si>
    <t>การบูร  Camphor</t>
  </si>
  <si>
    <t>0574</t>
  </si>
  <si>
    <t>น้ำมันยูคาลิปตัส</t>
  </si>
  <si>
    <t>pound</t>
  </si>
  <si>
    <t>0526</t>
  </si>
  <si>
    <t>พิมเสน ( Borneol )</t>
  </si>
  <si>
    <t>451 g</t>
  </si>
  <si>
    <t>ปี 69</t>
  </si>
  <si>
    <t>ปี 68</t>
  </si>
  <si>
    <t>ซื้อแล้ว</t>
  </si>
  <si>
    <t>คิดเป็น %</t>
  </si>
  <si>
    <t>ให้มีการใช้ยาสมุนไพรรักษาcommon diseases 10กลุ่มอาการOPD สัดส่วนร้อยละ10ของแต่ละกลุ่มอาการ</t>
  </si>
  <si>
    <t>ยาสมุนไพร ED</t>
  </si>
  <si>
    <t>การจัดซื้อจัดหายาสมุนไพรจากโรงพยาบาลที่เป็นแหล่งผลิตในจังหวัดคือซื้อยาสมุนไพรที่โรงพยาบาลตระการพืชผลผลิตอย่างน้อยร้อยละ 80ของแผนจัดซื้อยาสมุนไพรของแต่ละโรงพยาบาล</t>
  </si>
  <si>
    <t>ยาสมุนไพร NED</t>
  </si>
  <si>
    <t>รวม</t>
  </si>
  <si>
    <t>จัดซื้อจาก</t>
  </si>
  <si>
    <t xml:space="preserve">คิดเป็น % </t>
  </si>
  <si>
    <t>ซื้อในปี2568</t>
  </si>
  <si>
    <t>410000000640000034110951</t>
  </si>
  <si>
    <t>420000004780000094110951</t>
  </si>
  <si>
    <t>มูลค่าใช้</t>
  </si>
  <si>
    <t>Iodide +Ferrous+ Folic(0.15 mg+60.81+0.4) Tab [Triferdine] - pack 30's</t>
  </si>
  <si>
    <t>มูลค่าซื้อทั้งปี</t>
  </si>
  <si>
    <t>NCD</t>
  </si>
  <si>
    <t>nCD</t>
  </si>
  <si>
    <t>eye</t>
  </si>
  <si>
    <t>รวมซื้อ</t>
  </si>
  <si>
    <t>รวมซื้อแล้ว</t>
  </si>
  <si>
    <t>ราคาเคลม</t>
  </si>
  <si>
    <t>กำไร</t>
  </si>
  <si>
    <t>ต่อหน่วย</t>
  </si>
  <si>
    <t>ราคาขาย</t>
  </si>
  <si>
    <t>แผนจัดซื้อ</t>
  </si>
  <si>
    <t>Triferdine - pack 30's</t>
  </si>
  <si>
    <t>ปัญหาและอุปสรรคในการให้บริการ Refill ยา</t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</si>
  <si>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8"/>
        <color theme="1"/>
        <rFont val="TH SarabunPSK"/>
        <family val="2"/>
      </rPr>
      <t>มีการสั่งยา Refill ในเคสที่ไม่เข้าเกณฑ์ในการจัดส่งยา ได้แก่ คนไข้ที่มียาฉีด คนไข้สิทธิประกันสังคม สิทธิ์จ่ายตรง ทำให้ห้องยาต้องทำการแก้ไขยา และวันนัด พร้อมทั้งให้คำแนะนำคนไข้ให้มารับยาตามนัด ไม่ได้ให้บริการจัดส่งยา ทำให้เกิดความล่าช้าในการให้บริการ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</si>
  <si>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8"/>
        <color theme="1"/>
        <rFont val="TH SarabunPSK"/>
        <family val="2"/>
      </rPr>
      <t>คนไข้ไม่ได้กรอกข้อมูลในใบลงทะเบียนจัดส่งยาก่อนมายื่นรับยาที่ห้องยา ทำให้ต้องมากรอกข้อมูลกับเภสัชตอนจ่ายยา ทำให้เกิดความล่าช้าในการให้บริการ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</si>
  <si>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8"/>
        <color theme="1"/>
        <rFont val="TH SarabunPSK"/>
        <family val="2"/>
      </rPr>
      <t xml:space="preserve">คนไข้ Refill ยา ไม่มีเบอร์โทรศัพท์ อาจจะทำให้ติดตามการรับยาได้ยาก </t>
    </r>
  </si>
  <si>
    <t>ภาระงาน</t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</si>
  <si>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8"/>
        <color theme="1"/>
        <rFont val="TH SarabunPSK"/>
        <family val="2"/>
      </rPr>
      <t>เภสัชกรนำข้อมูลคนไข้จากใบลงทะเบียนจัดส่งยามาทำรายชื่อจัดส่งยาแต่ละรอบ ต้องใช้เวลานาน ทำให้ภาระงานเพิ่มมากขึ้น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</si>
  <si>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8"/>
        <color theme="1"/>
        <rFont val="TH SarabunPSK"/>
        <family val="2"/>
      </rPr>
      <t>ห้องยาให้บริการทั้งคลินิก NCD, Health Rider, และ Refill ยา ในวันเดียวกัน ทำให้ภาระงานเพิ่มมากขึ้น ควรมีเภสัชกรให้บริการ 3 คน</t>
    </r>
  </si>
  <si>
    <t>ข้อเสนอแนะ</t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</si>
  <si>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8"/>
        <color theme="1"/>
        <rFont val="TH SarabunPSK"/>
        <family val="2"/>
      </rPr>
      <t>เพิ่มเจ้าหน้าที่ NCD ช่วยคนไข้กรอกข้อมูลใบลงทะเบียนจัดส่งยาที่บ้าน ก่อนมายื่นรับยาที่ห้องจ่ายยยา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</si>
  <si>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8"/>
        <color theme="1"/>
        <rFont val="TH SarabunPSK"/>
        <family val="2"/>
      </rPr>
      <t>เพิ่มเจ้าหน้าที่ คลินิก NCD คัดกรองคนไข้ จัดทำข้อมูลคนไข้ที่รับบริการ Refill ยา และส่งรายชื่อคนไข้ที่ต้อง Refill ยาให้พยาบาล Home ward ลงข้อมูล Refill ยา และส่งรายชื่อให้ห้องยาจัดยา เภสัชกรตรวจสอบยา และส่งให้บริษัทขนส่ง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</si>
  <si>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8"/>
        <color theme="1"/>
        <rFont val="TH SarabunPSK"/>
        <family val="2"/>
      </rPr>
      <t xml:space="preserve">จัดเก็บค่าบริการส่งยาที่บ้าน </t>
    </r>
  </si>
  <si>
    <t>ตารางการให้บริการ Refill ยา NCD รพ.ม่วงสามสิบ</t>
  </si>
  <si>
    <t>วันที่รับบริการ</t>
  </si>
  <si>
    <t>วันนัด 4 เดือน</t>
  </si>
  <si>
    <t>วันครบ 2 เดือน</t>
  </si>
  <si>
    <t>วัน Refill ยา</t>
  </si>
  <si>
    <t>จำนวนคนไข้ที่ต้องจัดส่งยา</t>
  </si>
  <si>
    <t>หมายเหตุ</t>
  </si>
  <si>
    <t>ปณ.มารับ 19/5/69 เที่ยง สถานะ 20/5/69 ยายังอยู่ที่ ปณ.ยังไม่ได้จัดส่ง</t>
  </si>
  <si>
    <t>แผนการปฏิบัติงานให้บริการส่งยาถึงบ้าน NCDs สีเขียว ประจำเดือน มิถุนายน 2569</t>
  </si>
  <si>
    <t>อา.</t>
  </si>
  <si>
    <t>จ</t>
  </si>
  <si>
    <t>อ</t>
  </si>
  <si>
    <t>พ</t>
  </si>
  <si>
    <t>พฤ</t>
  </si>
  <si>
    <t>ศ</t>
  </si>
  <si>
    <t>ส</t>
  </si>
  <si>
    <t>รพ.สต.</t>
  </si>
  <si>
    <t>รอบการส่งยา</t>
  </si>
  <si>
    <t>วันนัด CMU ( 2 เดือน )</t>
  </si>
  <si>
    <t>จำนวนวัน</t>
  </si>
  <si>
    <t>รพ.สต.หนองไข่นก</t>
  </si>
  <si>
    <t>ส่งยากลุ่มสีเขียว</t>
  </si>
  <si>
    <t>วันเฉลิมพระชนมพรรษา</t>
  </si>
  <si>
    <t>รพ.สต.หนองหลัก</t>
  </si>
  <si>
    <t>วันหยุดชดเชย</t>
  </si>
  <si>
    <t xml:space="preserve"> สมเด็จพระนางเจ้าสุทิดา</t>
  </si>
  <si>
    <t>รพ.สต.น้ำคำแดง</t>
  </si>
  <si>
    <t>Refill 64 ราย</t>
  </si>
  <si>
    <t>Refill 36 ราย</t>
  </si>
  <si>
    <t>Refill 44 ราย</t>
  </si>
  <si>
    <t>รพ.สต.หนองเหล่า</t>
  </si>
  <si>
    <t>รพ.สต.สร้างมิ่ง</t>
  </si>
  <si>
    <t>รพ.สต.โพนแพง</t>
  </si>
  <si>
    <t>รพ.สต.ไผ่ใหญ่</t>
  </si>
  <si>
    <t>รพ.สต.ทุ่งมณี</t>
  </si>
  <si>
    <t>Refill 25 ราย</t>
  </si>
  <si>
    <t>Refill 60 ราย</t>
  </si>
  <si>
    <t>Refill 55 ราย</t>
  </si>
  <si>
    <t>Refill 56 ราย</t>
  </si>
  <si>
    <t>รพ.สต.แสงไผ่</t>
  </si>
  <si>
    <t>รพ.สต.บัวยาง</t>
  </si>
  <si>
    <t>รพ.สต.พระโรจน์</t>
  </si>
  <si>
    <t>Refill 69 ราย</t>
  </si>
  <si>
    <t>Refill 21 ราย</t>
  </si>
  <si>
    <t>Refill 68 ราย</t>
  </si>
  <si>
    <t>Refill 41 ราย</t>
  </si>
  <si>
    <t>Refill 38 ราย</t>
  </si>
  <si>
    <t>Refill 34 ราย</t>
  </si>
  <si>
    <t>Refill 31 ราย</t>
  </si>
  <si>
    <t>Refill 37 ราย</t>
  </si>
  <si>
    <t>Refill 40 ราย</t>
  </si>
  <si>
    <t>Refill 11 ราย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</si>
</sst>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_-* #,##0_-;\-* #,##0_-;_-* &quot;-&quot;??_-;_-@_-"/>
    <numFmt numFmtId="188" formatCode="_(* #,##0_);_(* \(#,##0\);_(* &quot;-&quot;??_);_(@_)"/>
    <numFmt numFmtId="189" formatCode="#,##0.0"/>
    <numFmt numFmtId="190" formatCode="_(* #,##0.0_);_(* \(#,##0.0\);_(* &quot;-&quot;??_);_(@_)"/>
    <numFmt numFmtId="195" formatCode="[$-F800]dddd\,\ mmmm\ dd\,\ yyyy"/>
  </numFmts>
  <fonts count="6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sz val="12"/>
      <name val="Arial"/>
      <family val="2"/>
    </font>
    <font>
      <sz val="12"/>
      <name val="Cordia New"/>
      <family val="2"/>
      <charset val="222"/>
    </font>
    <font>
      <sz val="12"/>
      <color indexed="8"/>
      <name val="Cordia New"/>
      <family val="2"/>
      <charset val="222"/>
    </font>
    <font>
      <b/>
      <sz val="11"/>
      <name val="TH SarabunPSK"/>
      <family val="2"/>
      <charset val="222"/>
    </font>
    <font>
      <b/>
      <sz val="12"/>
      <name val="Cordia New"/>
      <family val="2"/>
      <charset val="222"/>
    </font>
    <font>
      <sz val="12"/>
      <name val="AngsanaUPC"/>
      <family val="1"/>
      <charset val="222"/>
    </font>
    <font>
      <sz val="12"/>
      <color indexed="10"/>
      <name val="AngsanaUPC"/>
      <family val="1"/>
      <charset val="222"/>
    </font>
    <font>
      <sz val="12"/>
      <color indexed="8"/>
      <name val="AngsanaUPC"/>
      <family val="1"/>
      <charset val="222"/>
    </font>
    <font>
      <sz val="12"/>
      <color theme="1"/>
      <name val="AngsanaUPC"/>
      <family val="1"/>
      <charset val="222"/>
    </font>
    <font>
      <b/>
      <sz val="12"/>
      <color indexed="8"/>
      <name val="AngsanaUPC"/>
      <family val="1"/>
    </font>
    <font>
      <sz val="12"/>
      <name val="Arial"/>
      <family val="2"/>
      <charset val="222"/>
    </font>
    <font>
      <sz val="11"/>
      <name val="Cordia New"/>
      <family val="2"/>
      <charset val="222"/>
    </font>
    <font>
      <b/>
      <sz val="12"/>
      <name val="AngsanaUPC"/>
      <family val="1"/>
    </font>
    <font>
      <b/>
      <sz val="12"/>
      <color indexed="30"/>
      <name val="AngsanaUPC"/>
      <family val="1"/>
      <charset val="222"/>
    </font>
    <font>
      <sz val="10"/>
      <name val="Arial"/>
      <family val="2"/>
    </font>
    <font>
      <sz val="14"/>
      <name val="Cordia New"/>
      <family val="2"/>
      <charset val="222"/>
    </font>
    <font>
      <sz val="14"/>
      <color indexed="8"/>
      <name val="Cordia New"/>
      <family val="2"/>
      <charset val="222"/>
    </font>
    <font>
      <sz val="12"/>
      <color rgb="FFC00000"/>
      <name val="AngsanaUPC"/>
      <family val="1"/>
      <charset val="222"/>
    </font>
    <font>
      <sz val="12"/>
      <color rgb="FF00B0F0"/>
      <name val="AngsanaUPC"/>
      <family val="1"/>
      <charset val="222"/>
    </font>
    <font>
      <sz val="12"/>
      <color rgb="FFFF0000"/>
      <name val="AngsanaUPC"/>
      <family val="1"/>
      <charset val="222"/>
    </font>
    <font>
      <b/>
      <sz val="12"/>
      <color indexed="8"/>
      <name val="Cordia New"/>
      <family val="2"/>
      <charset val="222"/>
    </font>
    <font>
      <b/>
      <sz val="12"/>
      <color theme="1"/>
      <name val="Cordia New"/>
      <family val="2"/>
      <charset val="222"/>
    </font>
    <font>
      <sz val="12"/>
      <color indexed="8"/>
      <name val="Arial"/>
      <family val="2"/>
      <charset val="222"/>
    </font>
    <font>
      <sz val="12"/>
      <color rgb="FF7030A0"/>
      <name val="AngsanaUPC"/>
      <family val="1"/>
      <charset val="222"/>
    </font>
    <font>
      <sz val="12"/>
      <color theme="3" tint="0.39997558519241921"/>
      <name val="AngsanaUPC"/>
      <family val="1"/>
      <charset val="222"/>
    </font>
    <font>
      <sz val="14"/>
      <color rgb="FFFF0000"/>
      <name val="Cordia New"/>
      <family val="2"/>
      <charset val="222"/>
    </font>
    <font>
      <sz val="12"/>
      <color indexed="53"/>
      <name val="Arial"/>
      <family val="2"/>
      <charset val="222"/>
    </font>
    <font>
      <b/>
      <sz val="12"/>
      <name val="Cordia New"/>
      <family val="2"/>
    </font>
    <font>
      <sz val="12"/>
      <color rgb="FF0070C0"/>
      <name val="AngsanaUPC"/>
      <family val="1"/>
      <charset val="222"/>
    </font>
    <font>
      <sz val="12"/>
      <color indexed="30"/>
      <name val="AngsanaUPC"/>
      <family val="1"/>
      <charset val="222"/>
    </font>
    <font>
      <sz val="12"/>
      <color indexed="53"/>
      <name val="Cordia New"/>
      <family val="2"/>
      <charset val="222"/>
    </font>
    <font>
      <sz val="12"/>
      <color rgb="FFFF0000"/>
      <name val="Cordia New"/>
      <family val="2"/>
      <charset val="222"/>
    </font>
    <font>
      <b/>
      <sz val="12"/>
      <color rgb="FFFF0000"/>
      <name val="AngsanaUPC"/>
      <family val="1"/>
    </font>
    <font>
      <b/>
      <sz val="12"/>
      <color indexed="10"/>
      <name val="Cordia New"/>
      <family val="2"/>
    </font>
    <font>
      <sz val="11"/>
      <name val="Cordia New"/>
      <family val="2"/>
    </font>
    <font>
      <sz val="14"/>
      <color theme="1"/>
      <name val="Cordia New"/>
      <family val="2"/>
      <charset val="222"/>
    </font>
    <font>
      <sz val="12"/>
      <color theme="1"/>
      <name val="Cordia New"/>
      <family val="2"/>
      <charset val="222"/>
    </font>
    <font>
      <sz val="11"/>
      <color indexed="8"/>
      <name val="Calibri"/>
      <family val="2"/>
      <charset val="222"/>
    </font>
    <font>
      <sz val="12"/>
      <color indexed="8"/>
      <name val="Angsana New"/>
      <family val="1"/>
      <charset val="222"/>
    </font>
    <font>
      <sz val="12"/>
      <color rgb="FFFF0000"/>
      <name val="Arial"/>
      <family val="2"/>
    </font>
    <font>
      <sz val="12"/>
      <color indexed="10"/>
      <name val="Arial"/>
      <family val="2"/>
      <charset val="222"/>
    </font>
    <font>
      <b/>
      <sz val="11"/>
      <name val="Cordia New"/>
      <family val="2"/>
      <charset val="222"/>
    </font>
    <font>
      <b/>
      <sz val="12"/>
      <color theme="8" tint="-0.249977111117893"/>
      <name val="Cordia New"/>
      <family val="2"/>
      <charset val="222"/>
    </font>
    <font>
      <b/>
      <sz val="12"/>
      <color rgb="FFC00000"/>
      <name val="Cordia New"/>
      <family val="2"/>
      <charset val="222"/>
    </font>
    <font>
      <sz val="12"/>
      <color theme="9" tint="-0.249977111117893"/>
      <name val="AngsanaUPC"/>
      <family val="1"/>
      <charset val="222"/>
    </font>
    <font>
      <b/>
      <sz val="12"/>
      <color rgb="FF7030A0"/>
      <name val="Cordia New"/>
      <family val="2"/>
      <charset val="222"/>
    </font>
    <font>
      <b/>
      <sz val="12"/>
      <color rgb="FFFF0000"/>
      <name val="Cordia New"/>
      <family val="2"/>
      <charset val="222"/>
    </font>
    <font>
      <sz val="12"/>
      <color theme="1"/>
      <name val="Arial"/>
      <family val="2"/>
    </font>
    <font>
      <sz val="12"/>
      <name val="AngsanaUPC"/>
      <family val="1"/>
    </font>
    <font>
      <sz val="14"/>
      <name val="AngsanaUPC"/>
      <family val="1"/>
      <charset val="222"/>
    </font>
    <font>
      <sz val="14"/>
      <color theme="1"/>
      <name val="Tahoma"/>
      <family val="2"/>
      <charset val="222"/>
      <scheme val="minor"/>
    </font>
    <font>
      <b/>
      <sz val="18"/>
      <color rgb="FFC00000"/>
      <name val="Cordia New"/>
      <family val="2"/>
      <charset val="222"/>
    </font>
    <font>
      <b/>
      <sz val="18"/>
      <name val="Cordia New"/>
      <family val="2"/>
      <charset val="222"/>
    </font>
    <font>
      <b/>
      <sz val="18"/>
      <color theme="8" tint="-0.249977111117893"/>
      <name val="Cordia New"/>
      <family val="2"/>
      <charset val="22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7"/>
      <color theme="1"/>
      <name val="Times New Roman"/>
      <family val="1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theme="1"/>
      <name val="TH SarabunPSK"/>
      <family val="2"/>
      <charset val="222"/>
    </font>
    <font>
      <b/>
      <sz val="16"/>
      <color theme="1"/>
      <name val="Tahoma"/>
      <family val="2"/>
      <charset val="222"/>
      <scheme val="minor"/>
    </font>
    <font>
      <sz val="14"/>
      <color rgb="FFFF000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rgb="FFFF0000"/>
      <name val="TH SarabunPSK"/>
      <family val="2"/>
      <charset val="222"/>
    </font>
  </fonts>
  <fills count="2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D6E3BC"/>
      </patternFill>
    </fill>
    <fill>
      <patternFill patternType="solid">
        <fgColor theme="6" tint="0.59999389629810485"/>
        <bgColor theme="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7" fillId="0" borderId="0"/>
    <xf numFmtId="0" fontId="40" fillId="0" borderId="0"/>
  </cellStyleXfs>
  <cellXfs count="425">
    <xf numFmtId="0" fontId="0" fillId="0" borderId="0" xfId="0"/>
    <xf numFmtId="0" fontId="0" fillId="0" borderId="0" xfId="0" applyAlignment="1">
      <alignment horizontal="center"/>
    </xf>
    <xf numFmtId="187" fontId="0" fillId="0" borderId="0" xfId="1" applyNumberFormat="1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2" borderId="0" xfId="0" applyFont="1" applyFill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188" fontId="9" fillId="0" borderId="0" xfId="1" applyNumberFormat="1" applyFont="1" applyFill="1" applyAlignment="1"/>
    <xf numFmtId="3" fontId="10" fillId="0" borderId="0" xfId="0" applyNumberFormat="1" applyFont="1"/>
    <xf numFmtId="189" fontId="11" fillId="3" borderId="0" xfId="0" applyNumberFormat="1" applyFont="1" applyFill="1"/>
    <xf numFmtId="3" fontId="12" fillId="0" borderId="0" xfId="0" applyNumberFormat="1" applyFont="1"/>
    <xf numFmtId="3" fontId="9" fillId="0" borderId="0" xfId="0" applyNumberFormat="1" applyFont="1"/>
    <xf numFmtId="4" fontId="9" fillId="0" borderId="0" xfId="0" applyNumberFormat="1" applyFont="1"/>
    <xf numFmtId="43" fontId="9" fillId="0" borderId="0" xfId="1" applyFont="1"/>
    <xf numFmtId="3" fontId="8" fillId="0" borderId="0" xfId="0" applyNumberFormat="1" applyFont="1"/>
    <xf numFmtId="4" fontId="8" fillId="0" borderId="0" xfId="0" applyNumberFormat="1" applyFont="1"/>
    <xf numFmtId="4" fontId="8" fillId="4" borderId="0" xfId="0" applyNumberFormat="1" applyFont="1" applyFill="1"/>
    <xf numFmtId="0" fontId="13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horizontal="centerContinuous" vertical="center" wrapText="1"/>
    </xf>
    <xf numFmtId="0" fontId="4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Continuous" vertical="center" wrapText="1"/>
    </xf>
    <xf numFmtId="0" fontId="7" fillId="0" borderId="3" xfId="0" applyFont="1" applyBorder="1" applyAlignment="1">
      <alignment horizontal="centerContinuous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90" fontId="8" fillId="0" borderId="2" xfId="1" applyNumberFormat="1" applyFont="1" applyFill="1" applyBorder="1" applyAlignment="1">
      <alignment horizontal="center" vertical="center" wrapText="1"/>
    </xf>
    <xf numFmtId="189" fontId="10" fillId="0" borderId="1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center"/>
    </xf>
    <xf numFmtId="4" fontId="11" fillId="3" borderId="2" xfId="0" applyNumberFormat="1" applyFont="1" applyFill="1" applyBorder="1" applyAlignment="1">
      <alignment horizontal="left" vertical="center"/>
    </xf>
    <xf numFmtId="4" fontId="8" fillId="0" borderId="1" xfId="1" applyNumberFormat="1" applyFont="1" applyFill="1" applyBorder="1" applyAlignment="1">
      <alignment horizontal="center"/>
    </xf>
    <xf numFmtId="4" fontId="15" fillId="0" borderId="2" xfId="1" applyNumberFormat="1" applyFont="1" applyFill="1" applyBorder="1" applyAlignment="1">
      <alignment horizontal="center"/>
    </xf>
    <xf numFmtId="3" fontId="8" fillId="0" borderId="4" xfId="1" applyNumberFormat="1" applyFont="1" applyFill="1" applyBorder="1" applyAlignment="1">
      <alignment horizontal="center" vertical="center"/>
    </xf>
    <xf numFmtId="43" fontId="8" fillId="0" borderId="4" xfId="1" applyFont="1" applyFill="1" applyBorder="1" applyAlignment="1">
      <alignment horizontal="center" vertical="center"/>
    </xf>
    <xf numFmtId="4" fontId="8" fillId="0" borderId="4" xfId="1" applyNumberFormat="1" applyFont="1" applyFill="1" applyBorder="1" applyAlignment="1">
      <alignment horizontal="center" wrapText="1"/>
    </xf>
    <xf numFmtId="4" fontId="8" fillId="4" borderId="4" xfId="1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Continuous" vertical="center" wrapText="1"/>
    </xf>
    <xf numFmtId="0" fontId="4" fillId="0" borderId="7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1" fontId="14" fillId="0" borderId="8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188" fontId="8" fillId="0" borderId="10" xfId="1" applyNumberFormat="1" applyFont="1" applyFill="1" applyBorder="1" applyAlignment="1">
      <alignment horizontal="center" vertical="center" wrapText="1"/>
    </xf>
    <xf numFmtId="188" fontId="8" fillId="0" borderId="11" xfId="1" applyNumberFormat="1" applyFont="1" applyFill="1" applyBorder="1" applyAlignment="1">
      <alignment horizontal="center" vertical="center" wrapText="1"/>
    </xf>
    <xf numFmtId="188" fontId="8" fillId="0" borderId="12" xfId="1" applyNumberFormat="1" applyFont="1" applyFill="1" applyBorder="1" applyAlignment="1">
      <alignment horizontal="center" vertical="center" wrapText="1"/>
    </xf>
    <xf numFmtId="189" fontId="10" fillId="0" borderId="7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4" fontId="11" fillId="3" borderId="8" xfId="0" applyNumberFormat="1" applyFont="1" applyFill="1" applyBorder="1" applyAlignment="1">
      <alignment horizontal="left" vertical="center"/>
    </xf>
    <xf numFmtId="4" fontId="8" fillId="0" borderId="7" xfId="1" applyNumberFormat="1" applyFont="1" applyFill="1" applyBorder="1" applyAlignment="1">
      <alignment horizontal="center"/>
    </xf>
    <xf numFmtId="4" fontId="15" fillId="0" borderId="8" xfId="1" applyNumberFormat="1" applyFont="1" applyFill="1" applyBorder="1" applyAlignment="1">
      <alignment horizontal="center"/>
    </xf>
    <xf numFmtId="3" fontId="8" fillId="0" borderId="6" xfId="1" applyNumberFormat="1" applyFont="1" applyFill="1" applyBorder="1" applyAlignment="1">
      <alignment horizontal="center" vertical="center"/>
    </xf>
    <xf numFmtId="4" fontId="8" fillId="0" borderId="6" xfId="1" applyNumberFormat="1" applyFont="1" applyFill="1" applyBorder="1" applyAlignment="1">
      <alignment horizontal="center" vertical="center"/>
    </xf>
    <xf numFmtId="43" fontId="8" fillId="0" borderId="6" xfId="1" applyFont="1" applyFill="1" applyBorder="1" applyAlignment="1">
      <alignment horizontal="center" vertical="center"/>
    </xf>
    <xf numFmtId="4" fontId="8" fillId="0" borderId="6" xfId="1" applyNumberFormat="1" applyFont="1" applyFill="1" applyBorder="1" applyAlignment="1">
      <alignment horizontal="center" vertical="center" wrapText="1"/>
    </xf>
    <xf numFmtId="4" fontId="8" fillId="4" borderId="6" xfId="1" applyNumberFormat="1" applyFont="1" applyFill="1" applyBorder="1" applyAlignment="1">
      <alignment horizontal="center" vertical="center" wrapText="1"/>
    </xf>
    <xf numFmtId="4" fontId="8" fillId="0" borderId="5" xfId="1" applyNumberFormat="1" applyFont="1" applyFill="1" applyBorder="1" applyAlignment="1">
      <alignment horizontal="centerContinuous" vertical="center" wrapText="1"/>
    </xf>
    <xf numFmtId="4" fontId="8" fillId="0" borderId="6" xfId="1" applyNumberFormat="1" applyFont="1" applyFill="1" applyBorder="1" applyAlignment="1">
      <alignment horizontal="centerContinuous" vertical="center" wrapText="1"/>
    </xf>
    <xf numFmtId="0" fontId="3" fillId="0" borderId="13" xfId="0" applyFont="1" applyBorder="1"/>
    <xf numFmtId="0" fontId="4" fillId="0" borderId="13" xfId="0" applyFont="1" applyBorder="1" applyAlignment="1">
      <alignment horizontal="centerContinuous" vertical="center" wrapText="1"/>
    </xf>
    <xf numFmtId="3" fontId="16" fillId="0" borderId="13" xfId="0" applyNumberFormat="1" applyFont="1" applyBorder="1" applyAlignment="1">
      <alignment horizontal="center" wrapText="1"/>
    </xf>
    <xf numFmtId="3" fontId="16" fillId="0" borderId="9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10" fillId="0" borderId="13" xfId="1" applyNumberFormat="1" applyFont="1" applyFill="1" applyBorder="1" applyAlignment="1">
      <alignment horizontal="center"/>
    </xf>
    <xf numFmtId="189" fontId="10" fillId="0" borderId="13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1" fillId="3" borderId="10" xfId="0" applyNumberFormat="1" applyFont="1" applyFill="1" applyBorder="1" applyAlignment="1">
      <alignment horizontal="center"/>
    </xf>
    <xf numFmtId="4" fontId="8" fillId="0" borderId="13" xfId="1" applyNumberFormat="1" applyFont="1" applyFill="1" applyBorder="1" applyAlignment="1">
      <alignment horizontal="center"/>
    </xf>
    <xf numFmtId="4" fontId="15" fillId="0" borderId="13" xfId="1" applyNumberFormat="1" applyFont="1" applyFill="1" applyBorder="1" applyAlignment="1">
      <alignment horizontal="center"/>
    </xf>
    <xf numFmtId="3" fontId="8" fillId="0" borderId="14" xfId="1" applyNumberFormat="1" applyFont="1" applyFill="1" applyBorder="1" applyAlignment="1">
      <alignment horizontal="center"/>
    </xf>
    <xf numFmtId="4" fontId="8" fillId="0" borderId="14" xfId="1" applyNumberFormat="1" applyFont="1" applyFill="1" applyBorder="1" applyAlignment="1">
      <alignment horizontal="center"/>
    </xf>
    <xf numFmtId="3" fontId="8" fillId="5" borderId="14" xfId="1" applyNumberFormat="1" applyFont="1" applyFill="1" applyBorder="1" applyAlignment="1">
      <alignment horizontal="center"/>
    </xf>
    <xf numFmtId="4" fontId="8" fillId="5" borderId="14" xfId="1" applyNumberFormat="1" applyFont="1" applyFill="1" applyBorder="1" applyAlignment="1">
      <alignment horizontal="center"/>
    </xf>
    <xf numFmtId="43" fontId="8" fillId="5" borderId="14" xfId="1" applyFont="1" applyFill="1" applyBorder="1" applyAlignment="1">
      <alignment horizontal="center"/>
    </xf>
    <xf numFmtId="4" fontId="8" fillId="6" borderId="14" xfId="1" applyNumberFormat="1" applyFont="1" applyFill="1" applyBorder="1" applyAlignment="1">
      <alignment horizontal="center"/>
    </xf>
    <xf numFmtId="4" fontId="8" fillId="4" borderId="14" xfId="1" applyNumberFormat="1" applyFont="1" applyFill="1" applyBorder="1" applyAlignment="1">
      <alignment horizontal="center"/>
    </xf>
    <xf numFmtId="49" fontId="18" fillId="0" borderId="14" xfId="2" applyNumberFormat="1" applyFont="1" applyBorder="1" applyAlignment="1">
      <alignment horizontal="center"/>
    </xf>
    <xf numFmtId="0" fontId="18" fillId="0" borderId="14" xfId="2" applyFont="1" applyBorder="1" applyAlignment="1">
      <alignment horizontal="center"/>
    </xf>
    <xf numFmtId="0" fontId="18" fillId="0" borderId="14" xfId="2" applyFont="1" applyBorder="1" applyAlignment="1">
      <alignment horizontal="left"/>
    </xf>
    <xf numFmtId="0" fontId="19" fillId="2" borderId="14" xfId="2" applyFont="1" applyFill="1" applyBorder="1" applyAlignment="1">
      <alignment horizontal="left"/>
    </xf>
    <xf numFmtId="0" fontId="14" fillId="0" borderId="14" xfId="2" applyFont="1" applyBorder="1"/>
    <xf numFmtId="0" fontId="7" fillId="0" borderId="13" xfId="0" applyFont="1" applyBorder="1"/>
    <xf numFmtId="0" fontId="4" fillId="0" borderId="14" xfId="0" applyFont="1" applyBorder="1" applyAlignment="1">
      <alignment horizontal="center"/>
    </xf>
    <xf numFmtId="0" fontId="8" fillId="0" borderId="14" xfId="0" applyFont="1" applyBorder="1"/>
    <xf numFmtId="0" fontId="8" fillId="0" borderId="14" xfId="0" applyFont="1" applyBorder="1" applyAlignment="1">
      <alignment horizontal="center"/>
    </xf>
    <xf numFmtId="188" fontId="10" fillId="0" borderId="13" xfId="1" applyNumberFormat="1" applyFont="1" applyFill="1" applyBorder="1"/>
    <xf numFmtId="3" fontId="10" fillId="0" borderId="14" xfId="1" applyNumberFormat="1" applyFont="1" applyFill="1" applyBorder="1"/>
    <xf numFmtId="3" fontId="11" fillId="3" borderId="14" xfId="1" applyNumberFormat="1" applyFont="1" applyFill="1" applyBorder="1" applyAlignment="1">
      <alignment horizontal="right"/>
    </xf>
    <xf numFmtId="4" fontId="8" fillId="0" borderId="14" xfId="1" applyNumberFormat="1" applyFont="1" applyFill="1" applyBorder="1" applyAlignment="1"/>
    <xf numFmtId="4" fontId="15" fillId="0" borderId="14" xfId="1" applyNumberFormat="1" applyFont="1" applyFill="1" applyBorder="1" applyAlignment="1"/>
    <xf numFmtId="3" fontId="8" fillId="0" borderId="14" xfId="0" applyNumberFormat="1" applyFont="1" applyBorder="1" applyAlignment="1">
      <alignment horizontal="right"/>
    </xf>
    <xf numFmtId="4" fontId="8" fillId="0" borderId="14" xfId="0" applyNumberFormat="1" applyFont="1" applyBorder="1"/>
    <xf numFmtId="3" fontId="8" fillId="5" borderId="14" xfId="0" applyNumberFormat="1" applyFont="1" applyFill="1" applyBorder="1"/>
    <xf numFmtId="4" fontId="8" fillId="5" borderId="14" xfId="0" applyNumberFormat="1" applyFont="1" applyFill="1" applyBorder="1"/>
    <xf numFmtId="43" fontId="8" fillId="5" borderId="14" xfId="1" applyFont="1" applyFill="1" applyBorder="1"/>
    <xf numFmtId="3" fontId="8" fillId="6" borderId="14" xfId="0" applyNumberFormat="1" applyFont="1" applyFill="1" applyBorder="1"/>
    <xf numFmtId="4" fontId="8" fillId="6" borderId="14" xfId="0" applyNumberFormat="1" applyFont="1" applyFill="1" applyBorder="1"/>
    <xf numFmtId="3" fontId="8" fillId="4" borderId="14" xfId="0" applyNumberFormat="1" applyFont="1" applyFill="1" applyBorder="1"/>
    <xf numFmtId="4" fontId="8" fillId="4" borderId="14" xfId="0" applyNumberFormat="1" applyFont="1" applyFill="1" applyBorder="1"/>
    <xf numFmtId="3" fontId="20" fillId="0" borderId="0" xfId="0" applyNumberFormat="1" applyFont="1"/>
    <xf numFmtId="0" fontId="7" fillId="0" borderId="14" xfId="0" applyFont="1" applyBorder="1"/>
    <xf numFmtId="4" fontId="21" fillId="0" borderId="14" xfId="1" applyNumberFormat="1" applyFont="1" applyFill="1" applyBorder="1" applyAlignment="1"/>
    <xf numFmtId="3" fontId="20" fillId="0" borderId="14" xfId="0" applyNumberFormat="1" applyFont="1" applyBorder="1" applyAlignment="1">
      <alignment horizontal="right"/>
    </xf>
    <xf numFmtId="3" fontId="22" fillId="3" borderId="14" xfId="1" applyNumberFormat="1" applyFont="1" applyFill="1" applyBorder="1" applyAlignment="1">
      <alignment horizontal="right"/>
    </xf>
    <xf numFmtId="0" fontId="23" fillId="0" borderId="14" xfId="0" applyFont="1" applyBorder="1"/>
    <xf numFmtId="0" fontId="5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88" fontId="10" fillId="0" borderId="14" xfId="1" applyNumberFormat="1" applyFont="1" applyFill="1" applyBorder="1"/>
    <xf numFmtId="49" fontId="14" fillId="0" borderId="14" xfId="2" applyNumberFormat="1" applyFont="1" applyBorder="1"/>
    <xf numFmtId="0" fontId="10" fillId="0" borderId="14" xfId="0" applyFont="1" applyBorder="1"/>
    <xf numFmtId="0" fontId="24" fillId="0" borderId="14" xfId="0" applyFont="1" applyBorder="1"/>
    <xf numFmtId="4" fontId="22" fillId="0" borderId="14" xfId="0" applyNumberFormat="1" applyFont="1" applyBorder="1"/>
    <xf numFmtId="0" fontId="25" fillId="0" borderId="0" xfId="0" applyFont="1"/>
    <xf numFmtId="4" fontId="21" fillId="0" borderId="14" xfId="0" applyNumberFormat="1" applyFont="1" applyBorder="1"/>
    <xf numFmtId="3" fontId="22" fillId="4" borderId="14" xfId="0" applyNumberFormat="1" applyFont="1" applyFill="1" applyBorder="1"/>
    <xf numFmtId="4" fontId="22" fillId="4" borderId="14" xfId="0" applyNumberFormat="1" applyFont="1" applyFill="1" applyBorder="1"/>
    <xf numFmtId="4" fontId="22" fillId="0" borderId="14" xfId="1" applyNumberFormat="1" applyFont="1" applyFill="1" applyBorder="1" applyAlignment="1"/>
    <xf numFmtId="0" fontId="3" fillId="7" borderId="0" xfId="0" applyFont="1" applyFill="1"/>
    <xf numFmtId="43" fontId="22" fillId="5" borderId="14" xfId="1" applyFont="1" applyFill="1" applyBorder="1"/>
    <xf numFmtId="1" fontId="14" fillId="0" borderId="14" xfId="2" applyNumberFormat="1" applyFont="1" applyBorder="1"/>
    <xf numFmtId="4" fontId="20" fillId="0" borderId="14" xfId="1" applyNumberFormat="1" applyFont="1" applyFill="1" applyBorder="1" applyAlignment="1"/>
    <xf numFmtId="3" fontId="20" fillId="5" borderId="14" xfId="0" applyNumberFormat="1" applyFont="1" applyFill="1" applyBorder="1"/>
    <xf numFmtId="4" fontId="26" fillId="0" borderId="14" xfId="1" applyNumberFormat="1" applyFont="1" applyFill="1" applyBorder="1" applyAlignment="1"/>
    <xf numFmtId="3" fontId="20" fillId="3" borderId="14" xfId="1" applyNumberFormat="1" applyFont="1" applyFill="1" applyBorder="1" applyAlignment="1">
      <alignment horizontal="right"/>
    </xf>
    <xf numFmtId="3" fontId="8" fillId="0" borderId="14" xfId="1" applyNumberFormat="1" applyFont="1" applyFill="1" applyBorder="1"/>
    <xf numFmtId="4" fontId="22" fillId="6" borderId="14" xfId="0" applyNumberFormat="1" applyFont="1" applyFill="1" applyBorder="1"/>
    <xf numFmtId="188" fontId="8" fillId="0" borderId="14" xfId="1" applyNumberFormat="1" applyFont="1" applyFill="1" applyBorder="1"/>
    <xf numFmtId="0" fontId="3" fillId="8" borderId="0" xfId="0" applyFont="1" applyFill="1"/>
    <xf numFmtId="4" fontId="27" fillId="0" borderId="14" xfId="1" applyNumberFormat="1" applyFont="1" applyFill="1" applyBorder="1" applyAlignment="1"/>
    <xf numFmtId="3" fontId="10" fillId="0" borderId="14" xfId="0" applyNumberFormat="1" applyFont="1" applyBorder="1" applyAlignment="1">
      <alignment horizontal="right"/>
    </xf>
    <xf numFmtId="3" fontId="22" fillId="0" borderId="14" xfId="0" applyNumberFormat="1" applyFont="1" applyBorder="1" applyAlignment="1">
      <alignment horizontal="right"/>
    </xf>
    <xf numFmtId="0" fontId="3" fillId="0" borderId="14" xfId="0" applyFont="1" applyBorder="1"/>
    <xf numFmtId="0" fontId="28" fillId="2" borderId="14" xfId="2" applyFont="1" applyFill="1" applyBorder="1" applyAlignment="1">
      <alignment horizontal="left"/>
    </xf>
    <xf numFmtId="0" fontId="19" fillId="9" borderId="14" xfId="2" applyFont="1" applyFill="1" applyBorder="1" applyAlignment="1">
      <alignment horizontal="left"/>
    </xf>
    <xf numFmtId="0" fontId="29" fillId="0" borderId="0" xfId="0" applyFont="1"/>
    <xf numFmtId="0" fontId="30" fillId="0" borderId="14" xfId="0" applyFont="1" applyBorder="1"/>
    <xf numFmtId="3" fontId="31" fillId="3" borderId="14" xfId="1" applyNumberFormat="1" applyFont="1" applyFill="1" applyBorder="1" applyAlignment="1">
      <alignment horizontal="right"/>
    </xf>
    <xf numFmtId="0" fontId="18" fillId="2" borderId="14" xfId="2" applyFont="1" applyFill="1" applyBorder="1" applyAlignment="1">
      <alignment horizontal="left"/>
    </xf>
    <xf numFmtId="43" fontId="10" fillId="0" borderId="14" xfId="1" applyFont="1" applyFill="1" applyBorder="1" applyAlignment="1"/>
    <xf numFmtId="3" fontId="8" fillId="0" borderId="14" xfId="1" applyNumberFormat="1" applyFont="1" applyFill="1" applyBorder="1" applyAlignment="1">
      <alignment horizontal="right"/>
    </xf>
    <xf numFmtId="3" fontId="32" fillId="0" borderId="14" xfId="0" applyNumberFormat="1" applyFont="1" applyBorder="1" applyAlignment="1">
      <alignment horizontal="right"/>
    </xf>
    <xf numFmtId="4" fontId="10" fillId="0" borderId="14" xfId="1" applyNumberFormat="1" applyFont="1" applyFill="1" applyBorder="1" applyAlignment="1"/>
    <xf numFmtId="0" fontId="3" fillId="10" borderId="0" xfId="0" applyFont="1" applyFill="1"/>
    <xf numFmtId="4" fontId="31" fillId="0" borderId="14" xfId="1" applyNumberFormat="1" applyFont="1" applyFill="1" applyBorder="1" applyAlignment="1"/>
    <xf numFmtId="0" fontId="33" fillId="0" borderId="14" xfId="0" applyFont="1" applyBorder="1" applyAlignment="1">
      <alignment horizontal="center"/>
    </xf>
    <xf numFmtId="0" fontId="34" fillId="0" borderId="14" xfId="0" applyFont="1" applyBorder="1" applyAlignment="1">
      <alignment horizontal="center"/>
    </xf>
    <xf numFmtId="43" fontId="8" fillId="0" borderId="14" xfId="1" applyFont="1" applyFill="1" applyBorder="1" applyAlignment="1"/>
    <xf numFmtId="43" fontId="26" fillId="0" borderId="14" xfId="1" applyFont="1" applyFill="1" applyBorder="1" applyAlignment="1"/>
    <xf numFmtId="0" fontId="19" fillId="0" borderId="14" xfId="2" applyFont="1" applyBorder="1" applyAlignment="1">
      <alignment horizontal="left"/>
    </xf>
    <xf numFmtId="4" fontId="26" fillId="11" borderId="14" xfId="0" applyNumberFormat="1" applyFont="1" applyFill="1" applyBorder="1"/>
    <xf numFmtId="4" fontId="35" fillId="0" borderId="14" xfId="1" applyNumberFormat="1" applyFont="1" applyFill="1" applyBorder="1" applyAlignment="1"/>
    <xf numFmtId="43" fontId="21" fillId="0" borderId="14" xfId="1" applyFont="1" applyFill="1" applyBorder="1" applyAlignment="1"/>
    <xf numFmtId="0" fontId="38" fillId="2" borderId="14" xfId="2" applyFont="1" applyFill="1" applyBorder="1" applyAlignment="1">
      <alignment horizontal="left"/>
    </xf>
    <xf numFmtId="0" fontId="39" fillId="0" borderId="14" xfId="0" applyFont="1" applyBorder="1" applyAlignment="1">
      <alignment horizontal="center"/>
    </xf>
    <xf numFmtId="0" fontId="11" fillId="0" borderId="14" xfId="0" applyFont="1" applyBorder="1"/>
    <xf numFmtId="0" fontId="11" fillId="0" borderId="14" xfId="0" applyFont="1" applyBorder="1" applyAlignment="1">
      <alignment horizontal="center"/>
    </xf>
    <xf numFmtId="188" fontId="11" fillId="0" borderId="14" xfId="1" applyNumberFormat="1" applyFont="1" applyFill="1" applyBorder="1"/>
    <xf numFmtId="3" fontId="11" fillId="0" borderId="14" xfId="1" applyNumberFormat="1" applyFont="1" applyFill="1" applyBorder="1"/>
    <xf numFmtId="4" fontId="11" fillId="0" borderId="14" xfId="1" applyNumberFormat="1" applyFont="1" applyFill="1" applyBorder="1" applyAlignment="1"/>
    <xf numFmtId="3" fontId="11" fillId="0" borderId="14" xfId="0" applyNumberFormat="1" applyFont="1" applyBorder="1" applyAlignment="1">
      <alignment horizontal="right"/>
    </xf>
    <xf numFmtId="49" fontId="18" fillId="9" borderId="14" xfId="2" applyNumberFormat="1" applyFont="1" applyFill="1" applyBorder="1" applyAlignment="1">
      <alignment horizontal="center"/>
    </xf>
    <xf numFmtId="0" fontId="18" fillId="0" borderId="14" xfId="3" applyFont="1" applyBorder="1" applyAlignment="1">
      <alignment horizontal="left"/>
    </xf>
    <xf numFmtId="0" fontId="19" fillId="2" borderId="14" xfId="3" applyFont="1" applyFill="1" applyBorder="1" applyAlignment="1">
      <alignment horizontal="left"/>
    </xf>
    <xf numFmtId="0" fontId="23" fillId="0" borderId="14" xfId="3" applyFont="1" applyBorder="1"/>
    <xf numFmtId="0" fontId="5" fillId="0" borderId="14" xfId="3" applyFont="1" applyBorder="1" applyAlignment="1">
      <alignment horizontal="center"/>
    </xf>
    <xf numFmtId="0" fontId="41" fillId="0" borderId="14" xfId="3" applyFont="1" applyBorder="1"/>
    <xf numFmtId="0" fontId="41" fillId="0" borderId="14" xfId="3" applyFont="1" applyBorder="1" applyAlignment="1">
      <alignment horizontal="center"/>
    </xf>
    <xf numFmtId="0" fontId="34" fillId="9" borderId="14" xfId="0" applyFont="1" applyFill="1" applyBorder="1" applyAlignment="1">
      <alignment horizontal="center"/>
    </xf>
    <xf numFmtId="49" fontId="28" fillId="0" borderId="14" xfId="2" applyNumberFormat="1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4" fontId="22" fillId="11" borderId="14" xfId="1" applyNumberFormat="1" applyFont="1" applyFill="1" applyBorder="1" applyAlignment="1"/>
    <xf numFmtId="49" fontId="18" fillId="11" borderId="14" xfId="2" applyNumberFormat="1" applyFont="1" applyFill="1" applyBorder="1" applyAlignment="1">
      <alignment horizontal="center"/>
    </xf>
    <xf numFmtId="0" fontId="18" fillId="11" borderId="14" xfId="2" applyFont="1" applyFill="1" applyBorder="1" applyAlignment="1">
      <alignment horizontal="left"/>
    </xf>
    <xf numFmtId="0" fontId="14" fillId="11" borderId="14" xfId="2" applyFont="1" applyFill="1" applyBorder="1"/>
    <xf numFmtId="0" fontId="23" fillId="11" borderId="14" xfId="0" applyFont="1" applyFill="1" applyBorder="1"/>
    <xf numFmtId="0" fontId="5" fillId="11" borderId="14" xfId="0" applyFont="1" applyFill="1" applyBorder="1" applyAlignment="1">
      <alignment horizontal="center"/>
    </xf>
    <xf numFmtId="0" fontId="10" fillId="11" borderId="14" xfId="0" applyFont="1" applyFill="1" applyBorder="1"/>
    <xf numFmtId="0" fontId="10" fillId="11" borderId="14" xfId="0" applyFont="1" applyFill="1" applyBorder="1" applyAlignment="1">
      <alignment horizontal="center"/>
    </xf>
    <xf numFmtId="188" fontId="10" fillId="11" borderId="14" xfId="1" applyNumberFormat="1" applyFont="1" applyFill="1" applyBorder="1"/>
    <xf numFmtId="4" fontId="31" fillId="11" borderId="14" xfId="1" applyNumberFormat="1" applyFont="1" applyFill="1" applyBorder="1" applyAlignment="1"/>
    <xf numFmtId="4" fontId="8" fillId="11" borderId="14" xfId="0" applyNumberFormat="1" applyFont="1" applyFill="1" applyBorder="1"/>
    <xf numFmtId="3" fontId="8" fillId="11" borderId="14" xfId="0" applyNumberFormat="1" applyFont="1" applyFill="1" applyBorder="1" applyAlignment="1">
      <alignment horizontal="right"/>
    </xf>
    <xf numFmtId="0" fontId="3" fillId="11" borderId="0" xfId="0" applyFont="1" applyFill="1"/>
    <xf numFmtId="0" fontId="42" fillId="0" borderId="0" xfId="0" applyFont="1"/>
    <xf numFmtId="0" fontId="7" fillId="11" borderId="14" xfId="0" applyFont="1" applyFill="1" applyBorder="1"/>
    <xf numFmtId="0" fontId="4" fillId="11" borderId="14" xfId="0" applyFont="1" applyFill="1" applyBorder="1" applyAlignment="1">
      <alignment horizontal="center"/>
    </xf>
    <xf numFmtId="0" fontId="8" fillId="11" borderId="14" xfId="0" applyFont="1" applyFill="1" applyBorder="1"/>
    <xf numFmtId="0" fontId="8" fillId="11" borderId="14" xfId="0" applyFont="1" applyFill="1" applyBorder="1" applyAlignment="1">
      <alignment horizontal="center"/>
    </xf>
    <xf numFmtId="4" fontId="26" fillId="11" borderId="14" xfId="1" applyNumberFormat="1" applyFont="1" applyFill="1" applyBorder="1" applyAlignment="1"/>
    <xf numFmtId="3" fontId="21" fillId="3" borderId="14" xfId="1" applyNumberFormat="1" applyFont="1" applyFill="1" applyBorder="1" applyAlignment="1">
      <alignment horizontal="right"/>
    </xf>
    <xf numFmtId="0" fontId="43" fillId="0" borderId="0" xfId="0" applyFont="1"/>
    <xf numFmtId="49" fontId="4" fillId="0" borderId="14" xfId="0" applyNumberFormat="1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5" fillId="2" borderId="14" xfId="0" applyFont="1" applyFill="1" applyBorder="1" applyAlignment="1">
      <alignment horizontal="left"/>
    </xf>
    <xf numFmtId="0" fontId="46" fillId="0" borderId="14" xfId="0" applyFont="1" applyBorder="1"/>
    <xf numFmtId="43" fontId="47" fillId="5" borderId="14" xfId="1" applyFont="1" applyFill="1" applyBorder="1"/>
    <xf numFmtId="49" fontId="14" fillId="0" borderId="14" xfId="0" applyNumberFormat="1" applyFont="1" applyBorder="1"/>
    <xf numFmtId="0" fontId="45" fillId="0" borderId="14" xfId="0" applyFont="1" applyBorder="1"/>
    <xf numFmtId="188" fontId="9" fillId="0" borderId="14" xfId="1" applyNumberFormat="1" applyFont="1" applyFill="1" applyBorder="1" applyAlignment="1"/>
    <xf numFmtId="3" fontId="10" fillId="0" borderId="14" xfId="0" applyNumberFormat="1" applyFont="1" applyBorder="1"/>
    <xf numFmtId="3" fontId="8" fillId="0" borderId="14" xfId="0" applyNumberFormat="1" applyFont="1" applyBorder="1"/>
    <xf numFmtId="4" fontId="10" fillId="0" borderId="14" xfId="0" applyNumberFormat="1" applyFont="1" applyBorder="1"/>
    <xf numFmtId="3" fontId="10" fillId="0" borderId="13" xfId="0" applyNumberFormat="1" applyFont="1" applyBorder="1" applyAlignment="1">
      <alignment horizontal="right"/>
    </xf>
    <xf numFmtId="0" fontId="44" fillId="0" borderId="14" xfId="0" applyFont="1" applyBorder="1"/>
    <xf numFmtId="0" fontId="48" fillId="0" borderId="14" xfId="0" applyFont="1" applyBorder="1"/>
    <xf numFmtId="0" fontId="7" fillId="3" borderId="14" xfId="0" applyFont="1" applyFill="1" applyBorder="1"/>
    <xf numFmtId="0" fontId="49" fillId="0" borderId="14" xfId="0" applyFont="1" applyBorder="1"/>
    <xf numFmtId="0" fontId="14" fillId="0" borderId="14" xfId="0" applyFont="1" applyBorder="1"/>
    <xf numFmtId="0" fontId="7" fillId="12" borderId="14" xfId="0" applyFont="1" applyFill="1" applyBorder="1"/>
    <xf numFmtId="0" fontId="4" fillId="0" borderId="14" xfId="0" applyFont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4" fontId="8" fillId="0" borderId="14" xfId="1" applyNumberFormat="1" applyFont="1" applyFill="1" applyBorder="1" applyAlignment="1">
      <alignment horizontal="right"/>
    </xf>
    <xf numFmtId="0" fontId="7" fillId="12" borderId="14" xfId="0" applyFont="1" applyFill="1" applyBorder="1" applyAlignment="1">
      <alignment horizontal="left" vertical="center" wrapText="1"/>
    </xf>
    <xf numFmtId="0" fontId="7" fillId="13" borderId="14" xfId="0" applyFont="1" applyFill="1" applyBorder="1"/>
    <xf numFmtId="0" fontId="50" fillId="0" borderId="0" xfId="0" applyFont="1"/>
    <xf numFmtId="1" fontId="7" fillId="12" borderId="14" xfId="0" applyNumberFormat="1" applyFont="1" applyFill="1" applyBorder="1" applyAlignment="1">
      <alignment horizontal="left" vertical="center" wrapText="1"/>
    </xf>
    <xf numFmtId="1" fontId="7" fillId="0" borderId="14" xfId="0" applyNumberFormat="1" applyFont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4" fillId="0" borderId="14" xfId="3" applyFont="1" applyBorder="1" applyAlignment="1">
      <alignment horizontal="left"/>
    </xf>
    <xf numFmtId="0" fontId="5" fillId="2" borderId="14" xfId="3" applyFont="1" applyFill="1" applyBorder="1" applyAlignment="1">
      <alignment horizontal="left"/>
    </xf>
    <xf numFmtId="0" fontId="23" fillId="3" borderId="14" xfId="3" applyFont="1" applyFill="1" applyBorder="1"/>
    <xf numFmtId="0" fontId="23" fillId="13" borderId="14" xfId="3" applyFont="1" applyFill="1" applyBorder="1"/>
    <xf numFmtId="0" fontId="48" fillId="0" borderId="14" xfId="3" applyFont="1" applyBorder="1"/>
    <xf numFmtId="4" fontId="13" fillId="0" borderId="0" xfId="0" applyNumberFormat="1" applyFont="1"/>
    <xf numFmtId="0" fontId="18" fillId="0" borderId="1" xfId="2" applyFont="1" applyBorder="1" applyAlignment="1">
      <alignment horizontal="left"/>
    </xf>
    <xf numFmtId="0" fontId="19" fillId="2" borderId="1" xfId="2" applyFont="1" applyFill="1" applyBorder="1" applyAlignment="1">
      <alignment horizontal="left"/>
    </xf>
    <xf numFmtId="0" fontId="14" fillId="0" borderId="1" xfId="2" applyFont="1" applyBorder="1"/>
    <xf numFmtId="0" fontId="23" fillId="0" borderId="1" xfId="0" applyFont="1" applyBorder="1"/>
    <xf numFmtId="0" fontId="5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88" fontId="10" fillId="0" borderId="1" xfId="1" applyNumberFormat="1" applyFont="1" applyFill="1" applyBorder="1"/>
    <xf numFmtId="188" fontId="10" fillId="0" borderId="7" xfId="1" applyNumberFormat="1" applyFont="1" applyFill="1" applyBorder="1"/>
    <xf numFmtId="3" fontId="10" fillId="0" borderId="1" xfId="1" applyNumberFormat="1" applyFont="1" applyFill="1" applyBorder="1"/>
    <xf numFmtId="4" fontId="8" fillId="0" borderId="1" xfId="1" applyNumberFormat="1" applyFont="1" applyFill="1" applyBorder="1" applyAlignment="1"/>
    <xf numFmtId="3" fontId="8" fillId="0" borderId="1" xfId="0" applyNumberFormat="1" applyFont="1" applyBorder="1" applyAlignment="1">
      <alignment horizontal="right"/>
    </xf>
    <xf numFmtId="3" fontId="8" fillId="5" borderId="1" xfId="0" applyNumberFormat="1" applyFont="1" applyFill="1" applyBorder="1"/>
    <xf numFmtId="4" fontId="8" fillId="5" borderId="1" xfId="0" applyNumberFormat="1" applyFont="1" applyFill="1" applyBorder="1"/>
    <xf numFmtId="43" fontId="8" fillId="5" borderId="1" xfId="1" applyFont="1" applyFill="1" applyBorder="1"/>
    <xf numFmtId="3" fontId="8" fillId="6" borderId="1" xfId="0" applyNumberFormat="1" applyFont="1" applyFill="1" applyBorder="1"/>
    <xf numFmtId="4" fontId="8" fillId="6" borderId="1" xfId="0" applyNumberFormat="1" applyFont="1" applyFill="1" applyBorder="1"/>
    <xf numFmtId="3" fontId="8" fillId="4" borderId="1" xfId="0" applyNumberFormat="1" applyFont="1" applyFill="1" applyBorder="1"/>
    <xf numFmtId="4" fontId="8" fillId="4" borderId="1" xfId="0" applyNumberFormat="1" applyFont="1" applyFill="1" applyBorder="1"/>
    <xf numFmtId="0" fontId="51" fillId="0" borderId="0" xfId="0" applyFont="1"/>
    <xf numFmtId="3" fontId="9" fillId="0" borderId="14" xfId="0" applyNumberFormat="1" applyFont="1" applyBorder="1"/>
    <xf numFmtId="1" fontId="14" fillId="0" borderId="14" xfId="0" applyNumberFormat="1" applyFont="1" applyBorder="1"/>
    <xf numFmtId="4" fontId="9" fillId="0" borderId="14" xfId="0" applyNumberFormat="1" applyFont="1" applyBorder="1"/>
    <xf numFmtId="3" fontId="9" fillId="5" borderId="14" xfId="0" applyNumberFormat="1" applyFont="1" applyFill="1" applyBorder="1"/>
    <xf numFmtId="4" fontId="9" fillId="5" borderId="14" xfId="0" applyNumberFormat="1" applyFont="1" applyFill="1" applyBorder="1"/>
    <xf numFmtId="43" fontId="9" fillId="5" borderId="14" xfId="1" applyFont="1" applyFill="1" applyBorder="1"/>
    <xf numFmtId="49" fontId="4" fillId="0" borderId="0" xfId="0" applyNumberFormat="1" applyFont="1" applyAlignment="1">
      <alignment horizontal="center"/>
    </xf>
    <xf numFmtId="0" fontId="14" fillId="0" borderId="0" xfId="0" applyFont="1"/>
    <xf numFmtId="0" fontId="48" fillId="0" borderId="0" xfId="0" applyFont="1"/>
    <xf numFmtId="0" fontId="49" fillId="0" borderId="0" xfId="0" applyFont="1"/>
    <xf numFmtId="188" fontId="10" fillId="0" borderId="0" xfId="1" applyNumberFormat="1" applyFont="1" applyFill="1" applyBorder="1"/>
    <xf numFmtId="3" fontId="10" fillId="0" borderId="0" xfId="1" applyNumberFormat="1" applyFont="1" applyFill="1" applyBorder="1"/>
    <xf numFmtId="3" fontId="11" fillId="3" borderId="13" xfId="1" applyNumberFormat="1" applyFont="1" applyFill="1" applyBorder="1" applyAlignment="1">
      <alignment horizontal="right"/>
    </xf>
    <xf numFmtId="4" fontId="8" fillId="0" borderId="0" xfId="1" applyNumberFormat="1" applyFont="1" applyFill="1" applyBorder="1" applyAlignment="1"/>
    <xf numFmtId="4" fontId="35" fillId="0" borderId="13" xfId="1" applyNumberFormat="1" applyFont="1" applyFill="1" applyBorder="1" applyAlignment="1"/>
    <xf numFmtId="3" fontId="11" fillId="3" borderId="0" xfId="1" applyNumberFormat="1" applyFont="1" applyFill="1" applyBorder="1" applyAlignment="1">
      <alignment horizontal="right"/>
    </xf>
    <xf numFmtId="3" fontId="15" fillId="5" borderId="14" xfId="1" applyNumberFormat="1" applyFont="1" applyFill="1" applyBorder="1" applyAlignment="1"/>
    <xf numFmtId="4" fontId="15" fillId="5" borderId="14" xfId="1" applyNumberFormat="1" applyFont="1" applyFill="1" applyBorder="1" applyAlignment="1"/>
    <xf numFmtId="43" fontId="15" fillId="5" borderId="14" xfId="1" applyFont="1" applyFill="1" applyBorder="1" applyAlignment="1"/>
    <xf numFmtId="4" fontId="15" fillId="4" borderId="14" xfId="1" applyNumberFormat="1" applyFont="1" applyFill="1" applyBorder="1" applyAlignment="1"/>
    <xf numFmtId="4" fontId="35" fillId="4" borderId="14" xfId="1" applyNumberFormat="1" applyFont="1" applyFill="1" applyBorder="1" applyAlignment="1"/>
    <xf numFmtId="4" fontId="15" fillId="0" borderId="0" xfId="1" applyNumberFormat="1" applyFont="1" applyFill="1" applyBorder="1" applyAlignment="1"/>
    <xf numFmtId="3" fontId="15" fillId="5" borderId="0" xfId="1" applyNumberFormat="1" applyFont="1" applyFill="1" applyBorder="1" applyAlignment="1"/>
    <xf numFmtId="4" fontId="15" fillId="5" borderId="0" xfId="1" applyNumberFormat="1" applyFont="1" applyFill="1" applyBorder="1" applyAlignment="1"/>
    <xf numFmtId="43" fontId="15" fillId="5" borderId="0" xfId="1" applyFont="1" applyFill="1" applyBorder="1" applyAlignment="1"/>
    <xf numFmtId="4" fontId="15" fillId="4" borderId="0" xfId="1" applyNumberFormat="1" applyFont="1" applyFill="1" applyBorder="1" applyAlignment="1"/>
    <xf numFmtId="1" fontId="14" fillId="0" borderId="0" xfId="0" applyNumberFormat="1" applyFont="1"/>
    <xf numFmtId="3" fontId="9" fillId="5" borderId="0" xfId="0" applyNumberFormat="1" applyFont="1" applyFill="1"/>
    <xf numFmtId="4" fontId="9" fillId="5" borderId="0" xfId="0" applyNumberFormat="1" applyFont="1" applyFill="1"/>
    <xf numFmtId="43" fontId="9" fillId="5" borderId="0" xfId="1" applyFont="1" applyFill="1"/>
    <xf numFmtId="3" fontId="35" fillId="0" borderId="0" xfId="0" applyNumberFormat="1" applyFont="1"/>
    <xf numFmtId="43" fontId="12" fillId="0" borderId="0" xfId="1" applyFont="1"/>
    <xf numFmtId="190" fontId="8" fillId="0" borderId="0" xfId="1" applyNumberFormat="1" applyFont="1" applyFill="1" applyBorder="1" applyAlignment="1">
      <alignment horizontal="center" vertical="center" wrapText="1"/>
    </xf>
    <xf numFmtId="190" fontId="8" fillId="0" borderId="3" xfId="1" applyNumberFormat="1" applyFont="1" applyFill="1" applyBorder="1" applyAlignment="1">
      <alignment horizontal="center" vertical="center" wrapText="1"/>
    </xf>
    <xf numFmtId="3" fontId="8" fillId="5" borderId="4" xfId="1" applyNumberFormat="1" applyFont="1" applyFill="1" applyBorder="1" applyAlignment="1">
      <alignment horizontal="center" vertical="center"/>
    </xf>
    <xf numFmtId="43" fontId="8" fillId="5" borderId="4" xfId="1" applyFont="1" applyFill="1" applyBorder="1" applyAlignment="1">
      <alignment horizontal="center" vertical="center"/>
    </xf>
    <xf numFmtId="188" fontId="8" fillId="0" borderId="0" xfId="1" applyNumberFormat="1" applyFont="1" applyFill="1" applyBorder="1" applyAlignment="1">
      <alignment horizontal="center" vertical="center" wrapText="1"/>
    </xf>
    <xf numFmtId="188" fontId="8" fillId="0" borderId="9" xfId="1" applyNumberFormat="1" applyFont="1" applyFill="1" applyBorder="1" applyAlignment="1">
      <alignment horizontal="center" vertical="center" wrapText="1"/>
    </xf>
    <xf numFmtId="3" fontId="8" fillId="5" borderId="6" xfId="1" applyNumberFormat="1" applyFont="1" applyFill="1" applyBorder="1" applyAlignment="1">
      <alignment horizontal="center" vertical="center"/>
    </xf>
    <xf numFmtId="4" fontId="8" fillId="5" borderId="6" xfId="1" applyNumberFormat="1" applyFont="1" applyFill="1" applyBorder="1" applyAlignment="1">
      <alignment horizontal="center" vertical="center"/>
    </xf>
    <xf numFmtId="43" fontId="8" fillId="5" borderId="6" xfId="1" applyFont="1" applyFill="1" applyBorder="1" applyAlignment="1">
      <alignment horizontal="center" vertical="center"/>
    </xf>
    <xf numFmtId="0" fontId="49" fillId="0" borderId="14" xfId="0" applyFont="1" applyBorder="1" applyAlignment="1">
      <alignment horizontal="left" vertical="center" wrapText="1"/>
    </xf>
    <xf numFmtId="43" fontId="35" fillId="0" borderId="0" xfId="1" applyFont="1"/>
    <xf numFmtId="4" fontId="10" fillId="0" borderId="0" xfId="0" applyNumberFormat="1" applyFont="1"/>
    <xf numFmtId="43" fontId="0" fillId="0" borderId="0" xfId="1" applyFont="1"/>
    <xf numFmtId="43" fontId="2" fillId="0" borderId="0" xfId="1" applyFont="1"/>
    <xf numFmtId="43" fontId="0" fillId="0" borderId="14" xfId="1" applyFont="1" applyBorder="1"/>
    <xf numFmtId="0" fontId="19" fillId="2" borderId="0" xfId="2" applyFont="1" applyFill="1" applyAlignment="1">
      <alignment horizontal="left"/>
    </xf>
    <xf numFmtId="0" fontId="19" fillId="2" borderId="13" xfId="2" applyFont="1" applyFill="1" applyBorder="1" applyAlignment="1">
      <alignment horizontal="left"/>
    </xf>
    <xf numFmtId="0" fontId="14" fillId="0" borderId="0" xfId="2" applyFont="1"/>
    <xf numFmtId="0" fontId="14" fillId="0" borderId="13" xfId="2" applyFont="1" applyBorder="1"/>
    <xf numFmtId="188" fontId="9" fillId="0" borderId="13" xfId="1" applyNumberFormat="1" applyFont="1" applyFill="1" applyBorder="1" applyAlignment="1"/>
    <xf numFmtId="3" fontId="8" fillId="5" borderId="0" xfId="0" applyNumberFormat="1" applyFont="1" applyFill="1"/>
    <xf numFmtId="0" fontId="25" fillId="0" borderId="14" xfId="0" applyFont="1" applyBorder="1"/>
    <xf numFmtId="4" fontId="52" fillId="0" borderId="14" xfId="0" applyNumberFormat="1" applyFont="1" applyBorder="1"/>
    <xf numFmtId="0" fontId="53" fillId="0" borderId="0" xfId="0" applyFont="1" applyAlignment="1">
      <alignment horizontal="center"/>
    </xf>
    <xf numFmtId="43" fontId="53" fillId="0" borderId="0" xfId="1" applyFont="1" applyAlignment="1">
      <alignment horizontal="center"/>
    </xf>
    <xf numFmtId="0" fontId="53" fillId="0" borderId="0" xfId="0" applyFont="1"/>
    <xf numFmtId="43" fontId="53" fillId="0" borderId="0" xfId="1" applyFont="1"/>
    <xf numFmtId="0" fontId="55" fillId="0" borderId="13" xfId="0" applyFont="1" applyBorder="1"/>
    <xf numFmtId="0" fontId="55" fillId="0" borderId="14" xfId="0" applyFont="1" applyBorder="1"/>
    <xf numFmtId="0" fontId="54" fillId="0" borderId="14" xfId="0" applyFont="1" applyBorder="1"/>
    <xf numFmtId="0" fontId="56" fillId="0" borderId="13" xfId="0" applyFont="1" applyBorder="1"/>
    <xf numFmtId="4" fontId="8" fillId="0" borderId="5" xfId="1" applyNumberFormat="1" applyFont="1" applyFill="1" applyBorder="1" applyAlignment="1">
      <alignment horizontal="center" vertical="center"/>
    </xf>
    <xf numFmtId="4" fontId="8" fillId="0" borderId="6" xfId="1" applyNumberFormat="1" applyFont="1" applyFill="1" applyBorder="1" applyAlignment="1">
      <alignment horizontal="center" vertical="center"/>
    </xf>
    <xf numFmtId="4" fontId="8" fillId="0" borderId="5" xfId="1" applyNumberFormat="1" applyFont="1" applyFill="1" applyBorder="1" applyAlignment="1">
      <alignment horizontal="center" vertical="center" wrapText="1"/>
    </xf>
    <xf numFmtId="4" fontId="8" fillId="0" borderId="6" xfId="1" applyNumberFormat="1" applyFont="1" applyFill="1" applyBorder="1" applyAlignment="1">
      <alignment horizontal="center" vertical="center" wrapText="1"/>
    </xf>
    <xf numFmtId="190" fontId="8" fillId="0" borderId="4" xfId="1" applyNumberFormat="1" applyFont="1" applyFill="1" applyBorder="1" applyAlignment="1">
      <alignment horizontal="center" vertical="center" wrapText="1"/>
    </xf>
    <xf numFmtId="190" fontId="8" fillId="0" borderId="3" xfId="1" applyNumberFormat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center" vertical="center"/>
    </xf>
    <xf numFmtId="3" fontId="8" fillId="0" borderId="4" xfId="1" applyNumberFormat="1" applyFont="1" applyFill="1" applyBorder="1" applyAlignment="1">
      <alignment horizontal="center" vertical="center"/>
    </xf>
    <xf numFmtId="4" fontId="8" fillId="0" borderId="2" xfId="1" applyNumberFormat="1" applyFont="1" applyFill="1" applyBorder="1" applyAlignment="1">
      <alignment horizontal="center" wrapText="1"/>
    </xf>
    <xf numFmtId="4" fontId="8" fillId="0" borderId="4" xfId="1" applyNumberFormat="1" applyFont="1" applyFill="1" applyBorder="1" applyAlignment="1">
      <alignment horizontal="center" wrapText="1"/>
    </xf>
    <xf numFmtId="4" fontId="8" fillId="0" borderId="2" xfId="1" applyNumberFormat="1" applyFont="1" applyFill="1" applyBorder="1" applyAlignment="1">
      <alignment horizontal="center" vertical="center" wrapText="1"/>
    </xf>
    <xf numFmtId="4" fontId="8" fillId="0" borderId="4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7" xfId="0" applyBorder="1"/>
    <xf numFmtId="0" fontId="0" fillId="0" borderId="13" xfId="0" applyBorder="1"/>
    <xf numFmtId="43" fontId="0" fillId="0" borderId="1" xfId="1" applyFont="1" applyBorder="1"/>
    <xf numFmtId="43" fontId="0" fillId="0" borderId="7" xfId="1" applyFont="1" applyBorder="1"/>
    <xf numFmtId="0" fontId="0" fillId="0" borderId="14" xfId="0" applyBorder="1" applyAlignment="1">
      <alignment horizontal="center"/>
    </xf>
    <xf numFmtId="0" fontId="0" fillId="0" borderId="14" xfId="0" applyBorder="1"/>
    <xf numFmtId="0" fontId="0" fillId="12" borderId="14" xfId="0" applyFill="1" applyBorder="1"/>
    <xf numFmtId="43" fontId="0" fillId="12" borderId="14" xfId="1" applyFont="1" applyFill="1" applyBorder="1"/>
    <xf numFmtId="0" fontId="0" fillId="14" borderId="14" xfId="0" applyFill="1" applyBorder="1"/>
    <xf numFmtId="43" fontId="0" fillId="14" borderId="14" xfId="1" applyFont="1" applyFill="1" applyBorder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43" fontId="0" fillId="0" borderId="2" xfId="1" applyFont="1" applyBorder="1"/>
    <xf numFmtId="43" fontId="0" fillId="0" borderId="8" xfId="1" applyFont="1" applyBorder="1"/>
    <xf numFmtId="43" fontId="0" fillId="0" borderId="14" xfId="1" applyFont="1" applyFill="1" applyBorder="1"/>
    <xf numFmtId="43" fontId="0" fillId="0" borderId="14" xfId="0" applyNumberFormat="1" applyBorder="1"/>
    <xf numFmtId="43" fontId="0" fillId="0" borderId="0" xfId="0" applyNumberFormat="1"/>
    <xf numFmtId="0" fontId="0" fillId="15" borderId="14" xfId="0" applyFill="1" applyBorder="1"/>
    <xf numFmtId="43" fontId="0" fillId="15" borderId="14" xfId="1" applyFont="1" applyFill="1" applyBorder="1"/>
    <xf numFmtId="43" fontId="0" fillId="0" borderId="1" xfId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5" xfId="0" applyBorder="1"/>
    <xf numFmtId="0" fontId="0" fillId="14" borderId="15" xfId="0" applyFill="1" applyBorder="1"/>
    <xf numFmtId="0" fontId="0" fillId="15" borderId="15" xfId="0" applyFill="1" applyBorder="1"/>
    <xf numFmtId="0" fontId="0" fillId="12" borderId="15" xfId="0" applyFill="1" applyBorder="1"/>
    <xf numFmtId="0" fontId="0" fillId="9" borderId="14" xfId="0" applyFill="1" applyBorder="1"/>
    <xf numFmtId="0" fontId="0" fillId="9" borderId="15" xfId="0" applyFill="1" applyBorder="1"/>
    <xf numFmtId="43" fontId="0" fillId="9" borderId="14" xfId="1" applyFont="1" applyFill="1" applyBorder="1"/>
    <xf numFmtId="0" fontId="57" fillId="0" borderId="0" xfId="0" applyFont="1" applyAlignment="1">
      <alignment vertical="center"/>
    </xf>
    <xf numFmtId="0" fontId="58" fillId="0" borderId="0" xfId="0" applyFont="1" applyAlignment="1">
      <alignment horizontal="left" vertical="top" wrapText="1"/>
    </xf>
    <xf numFmtId="0" fontId="57" fillId="0" borderId="0" xfId="0" applyFont="1" applyAlignment="1">
      <alignment vertical="top" wrapText="1"/>
    </xf>
    <xf numFmtId="0" fontId="60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195" fontId="60" fillId="0" borderId="0" xfId="0" applyNumberFormat="1" applyFont="1" applyAlignment="1">
      <alignment horizontal="center"/>
    </xf>
    <xf numFmtId="195" fontId="61" fillId="0" borderId="0" xfId="0" applyNumberFormat="1" applyFont="1" applyAlignment="1">
      <alignment horizontal="center"/>
    </xf>
    <xf numFmtId="0" fontId="61" fillId="0" borderId="0" xfId="0" applyFont="1" applyAlignment="1">
      <alignment horizontal="center"/>
    </xf>
    <xf numFmtId="0" fontId="61" fillId="0" borderId="0" xfId="0" applyFont="1"/>
    <xf numFmtId="0" fontId="62" fillId="0" borderId="0" xfId="0" applyFont="1"/>
    <xf numFmtId="0" fontId="60" fillId="0" borderId="0" xfId="0" applyFont="1"/>
    <xf numFmtId="0" fontId="63" fillId="0" borderId="0" xfId="0" applyFont="1"/>
    <xf numFmtId="0" fontId="63" fillId="0" borderId="0" xfId="0" applyFont="1" applyAlignment="1">
      <alignment horizontal="center" vertical="center"/>
    </xf>
    <xf numFmtId="195" fontId="63" fillId="0" borderId="0" xfId="0" applyNumberFormat="1" applyFont="1" applyAlignment="1">
      <alignment horizontal="center" vertical="center"/>
    </xf>
    <xf numFmtId="0" fontId="64" fillId="0" borderId="0" xfId="0" applyFont="1"/>
    <xf numFmtId="0" fontId="65" fillId="16" borderId="16" xfId="0" applyFont="1" applyFill="1" applyBorder="1" applyAlignment="1">
      <alignment horizontal="center" vertical="center"/>
    </xf>
    <xf numFmtId="0" fontId="66" fillId="17" borderId="16" xfId="0" applyFont="1" applyFill="1" applyBorder="1" applyAlignment="1">
      <alignment horizontal="center" vertical="center"/>
    </xf>
    <xf numFmtId="195" fontId="63" fillId="0" borderId="0" xfId="0" applyNumberFormat="1" applyFont="1"/>
    <xf numFmtId="0" fontId="66" fillId="18" borderId="17" xfId="0" applyFont="1" applyFill="1" applyBorder="1" applyAlignment="1">
      <alignment horizontal="center" vertical="center"/>
    </xf>
    <xf numFmtId="0" fontId="66" fillId="17" borderId="17" xfId="0" applyFont="1" applyFill="1" applyBorder="1" applyAlignment="1">
      <alignment horizontal="center" vertical="center"/>
    </xf>
    <xf numFmtId="0" fontId="66" fillId="17" borderId="18" xfId="0" applyFont="1" applyFill="1" applyBorder="1" applyAlignment="1">
      <alignment horizontal="center" vertical="center"/>
    </xf>
    <xf numFmtId="0" fontId="65" fillId="16" borderId="18" xfId="0" applyFont="1" applyFill="1" applyBorder="1" applyAlignment="1">
      <alignment horizontal="center" vertical="center"/>
    </xf>
    <xf numFmtId="0" fontId="66" fillId="18" borderId="19" xfId="0" applyFont="1" applyFill="1" applyBorder="1" applyAlignment="1">
      <alignment horizontal="center" vertical="center"/>
    </xf>
    <xf numFmtId="0" fontId="66" fillId="17" borderId="20" xfId="0" applyFont="1" applyFill="1" applyBorder="1" applyAlignment="1">
      <alignment horizontal="center" vertical="center"/>
    </xf>
    <xf numFmtId="0" fontId="61" fillId="19" borderId="19" xfId="0" applyFont="1" applyFill="1" applyBorder="1" applyAlignment="1">
      <alignment horizontal="right" vertical="center"/>
    </xf>
    <xf numFmtId="0" fontId="66" fillId="17" borderId="19" xfId="0" applyFont="1" applyFill="1" applyBorder="1" applyAlignment="1">
      <alignment horizontal="center" vertical="center"/>
    </xf>
    <xf numFmtId="0" fontId="61" fillId="19" borderId="20" xfId="0" applyFont="1" applyFill="1" applyBorder="1" applyAlignment="1">
      <alignment horizontal="center" vertical="center"/>
    </xf>
    <xf numFmtId="0" fontId="61" fillId="19" borderId="7" xfId="0" applyFont="1" applyFill="1" applyBorder="1" applyAlignment="1">
      <alignment horizontal="center" vertical="center"/>
    </xf>
    <xf numFmtId="0" fontId="65" fillId="16" borderId="21" xfId="0" applyFont="1" applyFill="1" applyBorder="1" applyAlignment="1">
      <alignment horizontal="center" vertical="center"/>
    </xf>
    <xf numFmtId="0" fontId="65" fillId="18" borderId="19" xfId="0" applyFont="1" applyFill="1" applyBorder="1" applyAlignment="1">
      <alignment horizontal="center" vertical="center"/>
    </xf>
    <xf numFmtId="0" fontId="66" fillId="17" borderId="21" xfId="0" applyFont="1" applyFill="1" applyBorder="1" applyAlignment="1">
      <alignment horizontal="center" vertical="center"/>
    </xf>
    <xf numFmtId="0" fontId="60" fillId="20" borderId="19" xfId="0" applyFont="1" applyFill="1" applyBorder="1" applyAlignment="1">
      <alignment horizontal="center" vertical="center"/>
    </xf>
    <xf numFmtId="0" fontId="67" fillId="17" borderId="19" xfId="0" applyFont="1" applyFill="1" applyBorder="1" applyAlignment="1">
      <alignment horizontal="center" vertical="center"/>
    </xf>
    <xf numFmtId="0" fontId="60" fillId="20" borderId="20" xfId="0" applyFont="1" applyFill="1" applyBorder="1" applyAlignment="1">
      <alignment horizontal="center" vertical="center"/>
    </xf>
    <xf numFmtId="0" fontId="60" fillId="20" borderId="7" xfId="0" applyFont="1" applyFill="1" applyBorder="1" applyAlignment="1">
      <alignment horizontal="center" vertical="center"/>
    </xf>
    <xf numFmtId="0" fontId="65" fillId="16" borderId="19" xfId="0" applyFont="1" applyFill="1" applyBorder="1" applyAlignment="1">
      <alignment horizontal="center" vertical="center"/>
    </xf>
    <xf numFmtId="0" fontId="67" fillId="17" borderId="19" xfId="0" applyFont="1" applyFill="1" applyBorder="1" applyAlignment="1">
      <alignment horizontal="center"/>
    </xf>
    <xf numFmtId="0" fontId="60" fillId="5" borderId="22" xfId="0" applyFont="1" applyFill="1" applyBorder="1" applyAlignment="1">
      <alignment horizontal="center" vertical="center"/>
    </xf>
    <xf numFmtId="0" fontId="63" fillId="5" borderId="8" xfId="0" applyFont="1" applyFill="1" applyBorder="1" applyAlignment="1">
      <alignment horizontal="center" vertical="center"/>
    </xf>
    <xf numFmtId="0" fontId="63" fillId="5" borderId="7" xfId="0" applyFont="1" applyFill="1" applyBorder="1" applyAlignment="1">
      <alignment horizontal="center" vertical="center"/>
    </xf>
    <xf numFmtId="0" fontId="65" fillId="18" borderId="23" xfId="0" applyFont="1" applyFill="1" applyBorder="1" applyAlignment="1">
      <alignment horizontal="center" vertical="center"/>
    </xf>
    <xf numFmtId="0" fontId="66" fillId="17" borderId="23" xfId="0" applyFont="1" applyFill="1" applyBorder="1" applyAlignment="1">
      <alignment horizontal="center"/>
    </xf>
    <xf numFmtId="0" fontId="68" fillId="21" borderId="23" xfId="0" applyFont="1" applyFill="1" applyBorder="1" applyAlignment="1">
      <alignment horizontal="center"/>
    </xf>
    <xf numFmtId="0" fontId="65" fillId="16" borderId="23" xfId="0" applyFont="1" applyFill="1" applyBorder="1" applyAlignment="1">
      <alignment horizontal="center" vertical="center"/>
    </xf>
    <xf numFmtId="0" fontId="66" fillId="17" borderId="0" xfId="0" applyFont="1" applyFill="1" applyAlignment="1">
      <alignment horizontal="center" vertical="center"/>
    </xf>
    <xf numFmtId="0" fontId="63" fillId="19" borderId="20" xfId="0" applyFont="1" applyFill="1" applyBorder="1" applyAlignment="1">
      <alignment horizontal="center" vertical="center"/>
    </xf>
    <xf numFmtId="0" fontId="60" fillId="19" borderId="20" xfId="0" applyFont="1" applyFill="1" applyBorder="1" applyAlignment="1">
      <alignment horizontal="center" vertical="center"/>
    </xf>
    <xf numFmtId="0" fontId="63" fillId="20" borderId="19" xfId="0" applyFont="1" applyFill="1" applyBorder="1" applyAlignment="1">
      <alignment horizontal="center" vertical="center"/>
    </xf>
    <xf numFmtId="0" fontId="60" fillId="19" borderId="21" xfId="0" applyFont="1" applyFill="1" applyBorder="1" applyAlignment="1">
      <alignment horizontal="center" vertical="center"/>
    </xf>
    <xf numFmtId="0" fontId="63" fillId="5" borderId="0" xfId="0" applyFont="1" applyFill="1" applyAlignment="1">
      <alignment horizontal="center" vertical="center"/>
    </xf>
    <xf numFmtId="0" fontId="66" fillId="17" borderId="19" xfId="0" applyFont="1" applyFill="1" applyBorder="1" applyAlignment="1">
      <alignment horizontal="center"/>
    </xf>
    <xf numFmtId="0" fontId="60" fillId="19" borderId="19" xfId="0" applyFont="1" applyFill="1" applyBorder="1" applyAlignment="1">
      <alignment horizontal="center"/>
    </xf>
    <xf numFmtId="0" fontId="65" fillId="18" borderId="17" xfId="0" applyFont="1" applyFill="1" applyBorder="1" applyAlignment="1">
      <alignment horizontal="center" vertical="center"/>
    </xf>
    <xf numFmtId="0" fontId="66" fillId="17" borderId="24" xfId="0" applyFont="1" applyFill="1" applyBorder="1" applyAlignment="1">
      <alignment horizontal="center" vertical="center"/>
    </xf>
    <xf numFmtId="0" fontId="65" fillId="16" borderId="17" xfId="0" applyFont="1" applyFill="1" applyBorder="1" applyAlignment="1">
      <alignment horizontal="center" vertical="center"/>
    </xf>
    <xf numFmtId="0" fontId="61" fillId="19" borderId="19" xfId="0" applyFont="1" applyFill="1" applyBorder="1" applyAlignment="1">
      <alignment horizontal="center" vertical="center"/>
    </xf>
    <xf numFmtId="0" fontId="63" fillId="21" borderId="19" xfId="0" applyFont="1" applyFill="1" applyBorder="1" applyAlignment="1">
      <alignment horizontal="center"/>
    </xf>
    <xf numFmtId="0" fontId="60" fillId="19" borderId="19" xfId="0" applyFont="1" applyFill="1" applyBorder="1" applyAlignment="1">
      <alignment horizontal="center" vertical="center"/>
    </xf>
    <xf numFmtId="0" fontId="60" fillId="19" borderId="20" xfId="0" applyFont="1" applyFill="1" applyBorder="1" applyAlignment="1">
      <alignment horizontal="center"/>
    </xf>
    <xf numFmtId="0" fontId="63" fillId="19" borderId="21" xfId="0" applyFont="1" applyFill="1" applyBorder="1" applyAlignment="1">
      <alignment horizontal="center" vertical="center"/>
    </xf>
    <xf numFmtId="0" fontId="63" fillId="21" borderId="19" xfId="0" applyFont="1" applyFill="1" applyBorder="1" applyAlignment="1">
      <alignment horizontal="center" vertical="center"/>
    </xf>
    <xf numFmtId="0" fontId="61" fillId="19" borderId="25" xfId="0" applyFont="1" applyFill="1" applyBorder="1" applyAlignment="1">
      <alignment horizontal="center" vertical="center"/>
    </xf>
    <xf numFmtId="0" fontId="66" fillId="17" borderId="23" xfId="0" applyFont="1" applyFill="1" applyBorder="1" applyAlignment="1">
      <alignment horizontal="center" vertical="center"/>
    </xf>
    <xf numFmtId="0" fontId="63" fillId="17" borderId="0" xfId="0" applyFont="1" applyFill="1" applyAlignment="1">
      <alignment horizontal="center" vertical="center"/>
    </xf>
    <xf numFmtId="0" fontId="64" fillId="0" borderId="0" xfId="0" applyFont="1" applyAlignment="1">
      <alignment horizontal="center" vertical="center"/>
    </xf>
    <xf numFmtId="195" fontId="64" fillId="0" borderId="0" xfId="0" applyNumberFormat="1" applyFont="1" applyAlignment="1">
      <alignment horizontal="center" vertical="center"/>
    </xf>
    <xf numFmtId="43" fontId="0" fillId="0" borderId="14" xfId="1" applyFont="1" applyBorder="1" applyAlignment="1">
      <alignment horizontal="center"/>
    </xf>
  </cellXfs>
  <cellStyles count="4">
    <cellStyle name="Normal 2 2" xfId="3" xr:uid="{8B630EF9-4722-4D93-B585-2745A2FA2D06}"/>
    <cellStyle name="Normal 7" xfId="2" xr:uid="{3B218185-C797-48F8-8563-285D87A9CF81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CCB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NCD!$C$3</c:f>
              <c:strCache>
                <c:ptCount val="1"/>
                <c:pt idx="0">
                  <c:v>ปริมาณใช้ (เม็ด)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7777777777777267E-3"/>
                  <c:y val="-3.70370370370371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E8-4C98-ACBA-2BC7F18123C1}"/>
                </c:ext>
              </c:extLst>
            </c:dLbl>
            <c:dLbl>
              <c:idx val="1"/>
              <c:layout>
                <c:manualLayout>
                  <c:x val="2.7777777777777779E-3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E8-4C98-ACBA-2BC7F18123C1}"/>
                </c:ext>
              </c:extLst>
            </c:dLbl>
            <c:dLbl>
              <c:idx val="2"/>
              <c:layout>
                <c:manualLayout>
                  <c:x val="0"/>
                  <c:y val="-4.166666666666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E8-4C98-ACBA-2BC7F18123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NCD!$B$4:$B$6</c:f>
              <c:strCache>
                <c:ptCount val="3"/>
                <c:pt idx="0">
                  <c:v>Amlodipne (5 mg)</c:v>
                </c:pt>
                <c:pt idx="1">
                  <c:v>Amlodipne (10 mg)</c:v>
                </c:pt>
                <c:pt idx="2">
                  <c:v>Manidipine (20 mg)</c:v>
                </c:pt>
              </c:strCache>
            </c:strRef>
          </c:cat>
          <c:val>
            <c:numRef>
              <c:f>NCD!$C$4:$C$6</c:f>
              <c:numCache>
                <c:formatCode>_-* #,##0_-;\-* #,##0_-;_-* "-"??_-;_-@_-</c:formatCode>
                <c:ptCount val="3"/>
                <c:pt idx="0">
                  <c:v>90900</c:v>
                </c:pt>
                <c:pt idx="1">
                  <c:v>651900</c:v>
                </c:pt>
                <c:pt idx="2">
                  <c:v>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E8-4C98-ACBA-2BC7F18123C1}"/>
            </c:ext>
          </c:extLst>
        </c:ser>
        <c:ser>
          <c:idx val="1"/>
          <c:order val="1"/>
          <c:tx>
            <c:strRef>
              <c:f>NCD!$D$3</c:f>
              <c:strCache>
                <c:ptCount val="1"/>
                <c:pt idx="0">
                  <c:v>มูลค่า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5.2777777777777778E-2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E8-4C98-ACBA-2BC7F18123C1}"/>
                </c:ext>
              </c:extLst>
            </c:dLbl>
            <c:dLbl>
              <c:idx val="1"/>
              <c:layout>
                <c:manualLayout>
                  <c:x val="8.3333333333333329E-2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E8-4C98-ACBA-2BC7F18123C1}"/>
                </c:ext>
              </c:extLst>
            </c:dLbl>
            <c:dLbl>
              <c:idx val="2"/>
              <c:layout>
                <c:manualLayout>
                  <c:x val="9.1666666666666563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E8-4C98-ACBA-2BC7F18123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NCD!$B$4:$B$6</c:f>
              <c:strCache>
                <c:ptCount val="3"/>
                <c:pt idx="0">
                  <c:v>Amlodipne (5 mg)</c:v>
                </c:pt>
                <c:pt idx="1">
                  <c:v>Amlodipne (10 mg)</c:v>
                </c:pt>
                <c:pt idx="2">
                  <c:v>Manidipine (20 mg)</c:v>
                </c:pt>
              </c:strCache>
            </c:strRef>
          </c:cat>
          <c:val>
            <c:numRef>
              <c:f>NCD!$D$4:$D$6</c:f>
              <c:numCache>
                <c:formatCode>_-* #,##0_-;\-* #,##0_-;_-* "-"??_-;_-@_-</c:formatCode>
                <c:ptCount val="3"/>
                <c:pt idx="0">
                  <c:v>318150</c:v>
                </c:pt>
                <c:pt idx="1">
                  <c:v>453396</c:v>
                </c:pt>
                <c:pt idx="2">
                  <c:v>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E8-4C98-ACBA-2BC7F1812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7021656"/>
        <c:axId val="357022016"/>
        <c:axId val="0"/>
      </c:bar3DChart>
      <c:catAx>
        <c:axId val="357021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357022016"/>
        <c:crosses val="autoZero"/>
        <c:auto val="1"/>
        <c:lblAlgn val="ctr"/>
        <c:lblOffset val="100"/>
        <c:noMultiLvlLbl val="0"/>
      </c:catAx>
      <c:valAx>
        <c:axId val="357022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357021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Statin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NCD!$B$27</c:f>
              <c:strCache>
                <c:ptCount val="1"/>
                <c:pt idx="0">
                  <c:v>Simvastatin (20 mg)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NCD!$C$26:$D$26</c:f>
              <c:strCache>
                <c:ptCount val="2"/>
                <c:pt idx="0">
                  <c:v>ปริมาณใช้ (เม็ด)</c:v>
                </c:pt>
                <c:pt idx="1">
                  <c:v>มูลค่า (บาท)</c:v>
                </c:pt>
              </c:strCache>
            </c:strRef>
          </c:cat>
          <c:val>
            <c:numRef>
              <c:f>NCD!$C$27:$D$27</c:f>
              <c:numCache>
                <c:formatCode>_-* #,##0_-;\-* #,##0_-;_-* "-"??_-;_-@_-</c:formatCode>
                <c:ptCount val="2"/>
                <c:pt idx="0">
                  <c:v>1438000</c:v>
                </c:pt>
                <c:pt idx="1">
                  <c:v>647100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1D-4A09-ACD2-5791929CB2BE}"/>
            </c:ext>
          </c:extLst>
        </c:ser>
        <c:ser>
          <c:idx val="1"/>
          <c:order val="1"/>
          <c:tx>
            <c:strRef>
              <c:f>NCD!$B$28</c:f>
              <c:strCache>
                <c:ptCount val="1"/>
                <c:pt idx="0">
                  <c:v>Atorvastatin (40 mg)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NCD!$C$26:$D$26</c:f>
              <c:strCache>
                <c:ptCount val="2"/>
                <c:pt idx="0">
                  <c:v>ปริมาณใช้ (เม็ด)</c:v>
                </c:pt>
                <c:pt idx="1">
                  <c:v>มูลค่า (บาท)</c:v>
                </c:pt>
              </c:strCache>
            </c:strRef>
          </c:cat>
          <c:val>
            <c:numRef>
              <c:f>NCD!$C$28:$D$28</c:f>
              <c:numCache>
                <c:formatCode>_-* #,##0_-;\-* #,##0_-;_-* "-"??_-;_-@_-</c:formatCode>
                <c:ptCount val="2"/>
                <c:pt idx="0">
                  <c:v>146800</c:v>
                </c:pt>
                <c:pt idx="1">
                  <c:v>168844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1D-4A09-ACD2-5791929CB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49572760"/>
        <c:axId val="549569880"/>
      </c:barChart>
      <c:catAx>
        <c:axId val="5495727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549569880"/>
        <c:crosses val="autoZero"/>
        <c:auto val="1"/>
        <c:lblAlgn val="ctr"/>
        <c:lblOffset val="100"/>
        <c:noMultiLvlLbl val="0"/>
      </c:catAx>
      <c:valAx>
        <c:axId val="549569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549572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442912</xdr:colOff>
      <xdr:row>1</xdr:row>
      <xdr:rowOff>104775</xdr:rowOff>
    </xdr:from>
    <xdr:to>
      <xdr:col>11</xdr:col>
      <xdr:colOff>214312</xdr:colOff>
      <xdr:row>18</xdr:row>
      <xdr:rowOff>133350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62E3B063-F25A-3CAC-22B3-A70D5DFDF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80962</xdr:colOff>
      <xdr:row>23</xdr:row>
      <xdr:rowOff>28575</xdr:rowOff>
    </xdr:from>
    <xdr:to>
      <xdr:col>10</xdr:col>
      <xdr:colOff>538162</xdr:colOff>
      <xdr:row>38</xdr:row>
      <xdr:rowOff>57150</xdr:rowOff>
    </xdr:to>
    <xdr:graphicFrame macro="">
      <xdr:nvGraphicFramePr>
        <xdr:cNvPr id="5" name="แผนภูมิ 4">
          <a:extLst>
            <a:ext uri="{FF2B5EF4-FFF2-40B4-BE49-F238E27FC236}">
              <a16:creationId xmlns:a16="http://schemas.microsoft.com/office/drawing/2014/main" id="{FEE65357-3447-B24C-C36C-839E029309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C98CA-76CB-4641-B5D3-FC5D71DC3C02}">
  <dimension ref="A2:C424"/>
  <sheetViews>
    <sheetView topLeftCell="A7" zoomScale="89" zoomScaleNormal="89" workbookViewId="0">
      <selection activeCell="G18" sqref="G18"/>
    </sheetView>
  </sheetViews>
  <sheetFormatPr defaultRowHeight="18"/>
  <cols>
    <col min="1" max="1" width="7.125" style="309" customWidth="1"/>
    <col min="2" max="2" width="52.5" style="311" customWidth="1"/>
    <col min="3" max="3" width="23.25" style="312" customWidth="1"/>
  </cols>
  <sheetData>
    <row r="2" spans="1:3">
      <c r="B2" s="309" t="s">
        <v>27</v>
      </c>
      <c r="C2" s="310" t="s">
        <v>1743</v>
      </c>
    </row>
    <row r="3" spans="1:3">
      <c r="A3" s="309">
        <v>1</v>
      </c>
      <c r="B3" s="311" t="s">
        <v>726</v>
      </c>
      <c r="C3" s="312">
        <v>1750000</v>
      </c>
    </row>
    <row r="4" spans="1:3">
      <c r="A4" s="309">
        <v>2</v>
      </c>
      <c r="B4" s="311" t="s">
        <v>573</v>
      </c>
      <c r="C4" s="312">
        <v>1620000</v>
      </c>
    </row>
    <row r="5" spans="1:3">
      <c r="A5" s="309">
        <v>3</v>
      </c>
      <c r="B5" s="311" t="s">
        <v>948</v>
      </c>
      <c r="C5" s="312">
        <v>1015430</v>
      </c>
    </row>
    <row r="6" spans="1:3">
      <c r="A6" s="309">
        <v>4</v>
      </c>
      <c r="B6" s="311" t="s">
        <v>1551</v>
      </c>
      <c r="C6" s="312">
        <v>980000</v>
      </c>
    </row>
    <row r="7" spans="1:3">
      <c r="A7" s="309">
        <v>5</v>
      </c>
      <c r="B7" s="311" t="s">
        <v>1232</v>
      </c>
      <c r="C7" s="312">
        <v>963000</v>
      </c>
    </row>
    <row r="8" spans="1:3">
      <c r="A8" s="309">
        <v>6</v>
      </c>
      <c r="B8" s="311" t="s">
        <v>50</v>
      </c>
      <c r="C8" s="312">
        <v>770400</v>
      </c>
    </row>
    <row r="9" spans="1:3">
      <c r="A9" s="309">
        <v>7</v>
      </c>
      <c r="B9" s="311" t="s">
        <v>1011</v>
      </c>
      <c r="C9" s="312">
        <v>742045</v>
      </c>
    </row>
    <row r="10" spans="1:3">
      <c r="A10" s="309">
        <v>8</v>
      </c>
      <c r="B10" s="311" t="s">
        <v>890</v>
      </c>
      <c r="C10" s="312">
        <v>675000</v>
      </c>
    </row>
    <row r="11" spans="1:3">
      <c r="A11" s="309">
        <v>9</v>
      </c>
      <c r="B11" s="311" t="s">
        <v>1209</v>
      </c>
      <c r="C11" s="312">
        <v>650000</v>
      </c>
    </row>
    <row r="12" spans="1:3">
      <c r="A12" s="309">
        <v>10</v>
      </c>
      <c r="B12" s="311" t="s">
        <v>168</v>
      </c>
      <c r="C12" s="312">
        <v>630000</v>
      </c>
    </row>
    <row r="13" spans="1:3">
      <c r="A13" s="309">
        <v>11</v>
      </c>
      <c r="B13" s="311" t="s">
        <v>1147</v>
      </c>
      <c r="C13" s="312">
        <v>617925</v>
      </c>
    </row>
    <row r="14" spans="1:3">
      <c r="A14" s="309">
        <v>12</v>
      </c>
      <c r="B14" s="311" t="s">
        <v>874</v>
      </c>
      <c r="C14" s="312">
        <v>570400</v>
      </c>
    </row>
    <row r="15" spans="1:3">
      <c r="A15" s="309">
        <v>13</v>
      </c>
      <c r="B15" s="311" t="s">
        <v>173</v>
      </c>
      <c r="C15" s="312">
        <v>560000</v>
      </c>
    </row>
    <row r="16" spans="1:3">
      <c r="A16" s="309">
        <v>14</v>
      </c>
      <c r="B16" s="311" t="s">
        <v>56</v>
      </c>
      <c r="C16" s="312">
        <v>480000</v>
      </c>
    </row>
    <row r="17" spans="1:3">
      <c r="A17" s="309">
        <v>15</v>
      </c>
      <c r="B17" s="311" t="s">
        <v>1384</v>
      </c>
      <c r="C17" s="312">
        <v>405000</v>
      </c>
    </row>
    <row r="18" spans="1:3">
      <c r="A18" s="309">
        <v>16</v>
      </c>
      <c r="B18" s="311" t="s">
        <v>744</v>
      </c>
      <c r="C18" s="312">
        <v>400000</v>
      </c>
    </row>
    <row r="19" spans="1:3">
      <c r="A19" s="309">
        <v>17</v>
      </c>
      <c r="B19" s="311" t="s">
        <v>1365</v>
      </c>
      <c r="C19" s="312">
        <v>377625</v>
      </c>
    </row>
    <row r="20" spans="1:3">
      <c r="A20" s="309">
        <v>18</v>
      </c>
      <c r="B20" s="311" t="s">
        <v>231</v>
      </c>
      <c r="C20" s="312">
        <v>336000</v>
      </c>
    </row>
    <row r="21" spans="1:3">
      <c r="A21" s="309">
        <v>19</v>
      </c>
      <c r="B21" s="311" t="s">
        <v>1176</v>
      </c>
      <c r="C21" s="312">
        <v>333000</v>
      </c>
    </row>
    <row r="22" spans="1:3">
      <c r="A22" s="309">
        <v>20</v>
      </c>
      <c r="B22" s="311" t="s">
        <v>362</v>
      </c>
      <c r="C22" s="312">
        <v>312000</v>
      </c>
    </row>
    <row r="23" spans="1:3">
      <c r="A23" s="309">
        <v>21</v>
      </c>
      <c r="B23" s="311" t="s">
        <v>313</v>
      </c>
      <c r="C23" s="312">
        <v>300000</v>
      </c>
    </row>
    <row r="24" spans="1:3">
      <c r="A24" s="309">
        <v>22</v>
      </c>
      <c r="B24" s="311" t="s">
        <v>681</v>
      </c>
      <c r="C24" s="312">
        <v>300000</v>
      </c>
    </row>
    <row r="25" spans="1:3">
      <c r="A25" s="309">
        <v>23</v>
      </c>
      <c r="B25" s="311" t="s">
        <v>1047</v>
      </c>
      <c r="C25" s="312">
        <v>300000</v>
      </c>
    </row>
    <row r="26" spans="1:3">
      <c r="A26" s="309">
        <v>24</v>
      </c>
      <c r="B26" s="311" t="s">
        <v>562</v>
      </c>
      <c r="C26" s="312">
        <v>248400</v>
      </c>
    </row>
    <row r="27" spans="1:3">
      <c r="A27" s="309">
        <v>25</v>
      </c>
      <c r="B27" s="311" t="s">
        <v>317</v>
      </c>
      <c r="C27" s="312">
        <v>240000</v>
      </c>
    </row>
    <row r="28" spans="1:3">
      <c r="A28" s="309">
        <v>26</v>
      </c>
      <c r="B28" s="311" t="s">
        <v>1268</v>
      </c>
      <c r="C28" s="312">
        <v>240000</v>
      </c>
    </row>
    <row r="29" spans="1:3">
      <c r="A29" s="309">
        <v>27</v>
      </c>
      <c r="B29" s="311" t="s">
        <v>284</v>
      </c>
      <c r="C29" s="312">
        <v>235000</v>
      </c>
    </row>
    <row r="30" spans="1:3">
      <c r="A30" s="309">
        <v>28</v>
      </c>
      <c r="B30" s="311" t="s">
        <v>1020</v>
      </c>
      <c r="C30" s="312">
        <v>220000</v>
      </c>
    </row>
    <row r="31" spans="1:3">
      <c r="A31" s="309">
        <v>29</v>
      </c>
      <c r="B31" s="311" t="s">
        <v>596</v>
      </c>
      <c r="C31" s="312">
        <v>219564</v>
      </c>
    </row>
    <row r="32" spans="1:3">
      <c r="A32" s="309">
        <v>30</v>
      </c>
      <c r="B32" s="311" t="s">
        <v>64</v>
      </c>
      <c r="C32" s="312">
        <v>216000</v>
      </c>
    </row>
    <row r="34" spans="2:3">
      <c r="B34" s="311" t="s">
        <v>646</v>
      </c>
      <c r="C34" s="312">
        <v>200000</v>
      </c>
    </row>
    <row r="35" spans="2:3">
      <c r="B35" s="311" t="s">
        <v>622</v>
      </c>
      <c r="C35" s="312">
        <v>176000</v>
      </c>
    </row>
    <row r="36" spans="2:3">
      <c r="B36" s="311" t="s">
        <v>909</v>
      </c>
      <c r="C36" s="312">
        <v>175200</v>
      </c>
    </row>
    <row r="37" spans="2:3">
      <c r="B37" s="311" t="s">
        <v>825</v>
      </c>
      <c r="C37" s="312">
        <v>163838.39999999999</v>
      </c>
    </row>
    <row r="38" spans="2:3">
      <c r="B38" s="311" t="s">
        <v>669</v>
      </c>
      <c r="C38" s="312">
        <v>149800</v>
      </c>
    </row>
    <row r="39" spans="2:3">
      <c r="B39" s="311" t="s">
        <v>239</v>
      </c>
      <c r="C39" s="312">
        <v>145948</v>
      </c>
    </row>
    <row r="40" spans="2:3">
      <c r="B40" s="311" t="s">
        <v>1236</v>
      </c>
      <c r="C40" s="312">
        <v>135800</v>
      </c>
    </row>
    <row r="41" spans="2:3">
      <c r="B41" s="311" t="s">
        <v>146</v>
      </c>
      <c r="C41" s="312">
        <v>132000</v>
      </c>
    </row>
    <row r="42" spans="2:3">
      <c r="B42" s="311" t="s">
        <v>1689</v>
      </c>
      <c r="C42" s="312">
        <v>131417.4</v>
      </c>
    </row>
    <row r="43" spans="2:3">
      <c r="B43" s="311" t="s">
        <v>1150</v>
      </c>
      <c r="C43" s="312">
        <v>128400</v>
      </c>
    </row>
    <row r="44" spans="2:3">
      <c r="B44" s="311" t="s">
        <v>604</v>
      </c>
      <c r="C44" s="312">
        <v>127200</v>
      </c>
    </row>
    <row r="45" spans="2:3">
      <c r="B45" s="311" t="s">
        <v>1548</v>
      </c>
      <c r="C45" s="312">
        <v>126000</v>
      </c>
    </row>
    <row r="46" spans="2:3">
      <c r="B46" s="311" t="s">
        <v>1064</v>
      </c>
      <c r="C46" s="312">
        <v>121000</v>
      </c>
    </row>
    <row r="47" spans="2:3">
      <c r="B47" s="311" t="s">
        <v>114</v>
      </c>
      <c r="C47" s="312">
        <v>120060.00000000001</v>
      </c>
    </row>
    <row r="48" spans="2:3">
      <c r="B48" s="311" t="s">
        <v>374</v>
      </c>
      <c r="C48" s="312">
        <v>120000</v>
      </c>
    </row>
    <row r="49" spans="2:3">
      <c r="B49" s="311" t="s">
        <v>693</v>
      </c>
      <c r="C49" s="312">
        <v>119000</v>
      </c>
    </row>
    <row r="50" spans="2:3">
      <c r="B50" s="311" t="s">
        <v>1561</v>
      </c>
      <c r="C50" s="312">
        <v>112000</v>
      </c>
    </row>
    <row r="51" spans="2:3">
      <c r="B51" s="311" t="s">
        <v>504</v>
      </c>
      <c r="C51" s="312">
        <v>111000</v>
      </c>
    </row>
    <row r="52" spans="2:3">
      <c r="B52" s="311" t="s">
        <v>1539</v>
      </c>
      <c r="C52" s="312">
        <v>108000</v>
      </c>
    </row>
    <row r="53" spans="2:3">
      <c r="B53" s="311" t="s">
        <v>1214</v>
      </c>
      <c r="C53" s="312">
        <v>107000</v>
      </c>
    </row>
    <row r="54" spans="2:3">
      <c r="B54" s="311" t="s">
        <v>618</v>
      </c>
      <c r="C54" s="312">
        <v>105000</v>
      </c>
    </row>
    <row r="55" spans="2:3">
      <c r="B55" s="311" t="s">
        <v>1557</v>
      </c>
      <c r="C55" s="312">
        <v>103600</v>
      </c>
    </row>
    <row r="56" spans="2:3">
      <c r="B56" s="311" t="s">
        <v>1127</v>
      </c>
      <c r="C56" s="312">
        <v>102600</v>
      </c>
    </row>
    <row r="57" spans="2:3">
      <c r="B57" s="311" t="s">
        <v>426</v>
      </c>
      <c r="C57" s="312">
        <v>100000</v>
      </c>
    </row>
    <row r="58" spans="2:3">
      <c r="B58" s="311" t="s">
        <v>1172</v>
      </c>
      <c r="C58" s="312">
        <v>100000</v>
      </c>
    </row>
    <row r="59" spans="2:3">
      <c r="B59" s="311" t="s">
        <v>1291</v>
      </c>
      <c r="C59" s="312">
        <v>98014.268400000001</v>
      </c>
    </row>
    <row r="60" spans="2:3">
      <c r="B60" s="311" t="s">
        <v>190</v>
      </c>
      <c r="C60" s="312">
        <v>97500</v>
      </c>
    </row>
    <row r="61" spans="2:3">
      <c r="B61" s="311" t="s">
        <v>271</v>
      </c>
      <c r="C61" s="312">
        <v>96393</v>
      </c>
    </row>
    <row r="62" spans="2:3">
      <c r="B62" s="311" t="s">
        <v>951</v>
      </c>
      <c r="C62" s="312">
        <v>96000</v>
      </c>
    </row>
    <row r="63" spans="2:3">
      <c r="B63" s="311" t="s">
        <v>1108</v>
      </c>
      <c r="C63" s="312">
        <v>96000</v>
      </c>
    </row>
    <row r="64" spans="2:3">
      <c r="B64" s="311" t="s">
        <v>1634</v>
      </c>
      <c r="C64" s="312">
        <v>95000</v>
      </c>
    </row>
    <row r="65" spans="2:3">
      <c r="B65" s="311" t="s">
        <v>1193</v>
      </c>
      <c r="C65" s="312">
        <v>91240</v>
      </c>
    </row>
    <row r="66" spans="2:3">
      <c r="B66" s="311" t="s">
        <v>223</v>
      </c>
      <c r="C66" s="312">
        <v>90000</v>
      </c>
    </row>
    <row r="67" spans="2:3">
      <c r="B67" s="311" t="s">
        <v>1251</v>
      </c>
      <c r="C67" s="312">
        <v>82200</v>
      </c>
    </row>
    <row r="68" spans="2:3">
      <c r="B68" s="311" t="s">
        <v>1056</v>
      </c>
      <c r="C68" s="312">
        <v>81000</v>
      </c>
    </row>
    <row r="69" spans="2:3">
      <c r="B69" s="311" t="s">
        <v>1023</v>
      </c>
      <c r="C69" s="312">
        <v>80000</v>
      </c>
    </row>
    <row r="70" spans="2:3">
      <c r="B70" s="311" t="s">
        <v>1328</v>
      </c>
      <c r="C70" s="312">
        <v>78000</v>
      </c>
    </row>
    <row r="71" spans="2:3">
      <c r="B71" s="311" t="s">
        <v>558</v>
      </c>
      <c r="C71" s="312">
        <v>77000</v>
      </c>
    </row>
    <row r="72" spans="2:3">
      <c r="B72" s="311" t="s">
        <v>1613</v>
      </c>
      <c r="C72" s="312">
        <v>76800</v>
      </c>
    </row>
    <row r="73" spans="2:3">
      <c r="B73" s="311" t="s">
        <v>820</v>
      </c>
      <c r="C73" s="312">
        <v>76505</v>
      </c>
    </row>
    <row r="74" spans="2:3">
      <c r="B74" s="311" t="s">
        <v>1647</v>
      </c>
      <c r="C74" s="312">
        <v>75000</v>
      </c>
    </row>
    <row r="75" spans="2:3">
      <c r="B75" s="311" t="s">
        <v>1092</v>
      </c>
      <c r="C75" s="312">
        <v>73500</v>
      </c>
    </row>
    <row r="76" spans="2:3">
      <c r="B76" s="311" t="s">
        <v>1039</v>
      </c>
      <c r="C76" s="312">
        <v>72540</v>
      </c>
    </row>
    <row r="77" spans="2:3">
      <c r="B77" s="311" t="s">
        <v>943</v>
      </c>
      <c r="C77" s="312">
        <v>72000</v>
      </c>
    </row>
    <row r="78" spans="2:3">
      <c r="B78" s="311" t="s">
        <v>1035</v>
      </c>
      <c r="C78" s="312">
        <v>72000</v>
      </c>
    </row>
    <row r="79" spans="2:3">
      <c r="B79" s="311" t="s">
        <v>1243</v>
      </c>
      <c r="C79" s="312">
        <v>72000</v>
      </c>
    </row>
    <row r="80" spans="2:3">
      <c r="B80" s="311" t="s">
        <v>673</v>
      </c>
      <c r="C80" s="312">
        <v>70000</v>
      </c>
    </row>
    <row r="81" spans="2:3">
      <c r="B81" s="311" t="s">
        <v>967</v>
      </c>
      <c r="C81" s="312">
        <v>69600</v>
      </c>
    </row>
    <row r="82" spans="2:3">
      <c r="B82" s="311" t="s">
        <v>659</v>
      </c>
      <c r="C82" s="312">
        <v>69122</v>
      </c>
    </row>
    <row r="83" spans="2:3">
      <c r="B83" s="311" t="s">
        <v>1295</v>
      </c>
      <c r="C83" s="312">
        <v>67500</v>
      </c>
    </row>
    <row r="84" spans="2:3">
      <c r="B84" s="311" t="s">
        <v>901</v>
      </c>
      <c r="C84" s="312">
        <v>67410</v>
      </c>
    </row>
    <row r="85" spans="2:3">
      <c r="B85" s="311" t="s">
        <v>747</v>
      </c>
      <c r="C85" s="312">
        <v>66768</v>
      </c>
    </row>
    <row r="86" spans="2:3">
      <c r="B86" s="311" t="s">
        <v>293</v>
      </c>
      <c r="C86" s="312">
        <v>66000</v>
      </c>
    </row>
    <row r="87" spans="2:3">
      <c r="B87" s="311" t="s">
        <v>697</v>
      </c>
      <c r="C87" s="312">
        <v>63000</v>
      </c>
    </row>
    <row r="88" spans="2:3">
      <c r="B88" s="311" t="s">
        <v>636</v>
      </c>
      <c r="C88" s="312">
        <v>61200</v>
      </c>
    </row>
    <row r="89" spans="2:3">
      <c r="B89" s="311" t="s">
        <v>631</v>
      </c>
      <c r="C89" s="312">
        <v>60000</v>
      </c>
    </row>
    <row r="90" spans="2:3">
      <c r="B90" s="311" t="s">
        <v>304</v>
      </c>
      <c r="C90" s="312">
        <v>59706</v>
      </c>
    </row>
    <row r="91" spans="2:3">
      <c r="B91" s="311" t="s">
        <v>655</v>
      </c>
      <c r="C91" s="312">
        <v>58500</v>
      </c>
    </row>
    <row r="92" spans="2:3">
      <c r="B92" s="311" t="s">
        <v>434</v>
      </c>
      <c r="C92" s="312">
        <v>58000</v>
      </c>
    </row>
    <row r="93" spans="2:3">
      <c r="B93" s="311" t="s">
        <v>894</v>
      </c>
      <c r="C93" s="312">
        <v>56017.600000000006</v>
      </c>
    </row>
    <row r="94" spans="2:3">
      <c r="B94" s="311" t="s">
        <v>870</v>
      </c>
      <c r="C94" s="312">
        <v>56000</v>
      </c>
    </row>
    <row r="95" spans="2:3">
      <c r="B95" s="311" t="s">
        <v>1508</v>
      </c>
      <c r="C95" s="312">
        <v>55854</v>
      </c>
    </row>
    <row r="96" spans="2:3">
      <c r="B96" s="311" t="s">
        <v>410</v>
      </c>
      <c r="C96" s="312">
        <v>54400</v>
      </c>
    </row>
    <row r="97" spans="2:3">
      <c r="B97" s="311" t="s">
        <v>68</v>
      </c>
      <c r="C97" s="312">
        <v>54000</v>
      </c>
    </row>
    <row r="98" spans="2:3">
      <c r="B98" s="311" t="s">
        <v>72</v>
      </c>
      <c r="C98" s="312">
        <v>53500</v>
      </c>
    </row>
    <row r="99" spans="2:3">
      <c r="B99" s="311" t="s">
        <v>1404</v>
      </c>
      <c r="C99" s="312">
        <v>52500</v>
      </c>
    </row>
    <row r="100" spans="2:3">
      <c r="B100" s="311" t="s">
        <v>1604</v>
      </c>
      <c r="C100" s="312">
        <v>52000</v>
      </c>
    </row>
    <row r="101" spans="2:3">
      <c r="B101" s="311" t="s">
        <v>1682</v>
      </c>
      <c r="C101" s="312">
        <v>51360</v>
      </c>
    </row>
    <row r="102" spans="2:3">
      <c r="B102" s="311" t="s">
        <v>1400</v>
      </c>
      <c r="C102" s="312">
        <v>51200</v>
      </c>
    </row>
    <row r="103" spans="2:3">
      <c r="B103" s="311" t="s">
        <v>861</v>
      </c>
      <c r="C103" s="312">
        <v>51000</v>
      </c>
    </row>
    <row r="104" spans="2:3">
      <c r="B104" s="311" t="s">
        <v>1742</v>
      </c>
      <c r="C104" s="312">
        <v>50076.000000000007</v>
      </c>
    </row>
    <row r="105" spans="2:3">
      <c r="B105" s="311" t="s">
        <v>663</v>
      </c>
      <c r="C105" s="312">
        <v>49000</v>
      </c>
    </row>
    <row r="106" spans="2:3">
      <c r="B106" s="311" t="s">
        <v>982</v>
      </c>
      <c r="C106" s="312">
        <v>48000</v>
      </c>
    </row>
    <row r="107" spans="2:3">
      <c r="B107" s="311" t="s">
        <v>138</v>
      </c>
      <c r="C107" s="312">
        <v>45500</v>
      </c>
    </row>
    <row r="108" spans="2:3">
      <c r="B108" s="311" t="s">
        <v>275</v>
      </c>
      <c r="C108" s="312">
        <v>43500</v>
      </c>
    </row>
    <row r="109" spans="2:3">
      <c r="B109" s="311" t="s">
        <v>1512</v>
      </c>
      <c r="C109" s="312">
        <v>42840</v>
      </c>
    </row>
    <row r="110" spans="2:3">
      <c r="B110" s="311" t="s">
        <v>782</v>
      </c>
      <c r="C110" s="312">
        <v>42000</v>
      </c>
    </row>
    <row r="111" spans="2:3">
      <c r="B111" s="311" t="s">
        <v>1625</v>
      </c>
      <c r="C111" s="312">
        <v>42000</v>
      </c>
    </row>
    <row r="112" spans="2:3">
      <c r="B112" s="311" t="s">
        <v>1464</v>
      </c>
      <c r="C112" s="312">
        <v>40660</v>
      </c>
    </row>
    <row r="113" spans="2:3">
      <c r="B113" s="311" t="s">
        <v>1453</v>
      </c>
      <c r="C113" s="312">
        <v>39739.800000000003</v>
      </c>
    </row>
    <row r="114" spans="2:3">
      <c r="B114" s="311" t="s">
        <v>921</v>
      </c>
      <c r="C114" s="312">
        <v>39000</v>
      </c>
    </row>
    <row r="115" spans="2:3">
      <c r="B115" s="311" t="s">
        <v>1227</v>
      </c>
      <c r="C115" s="312">
        <v>39000</v>
      </c>
    </row>
    <row r="116" spans="2:3">
      <c r="B116" s="311" t="s">
        <v>925</v>
      </c>
      <c r="C116" s="312">
        <v>37500</v>
      </c>
    </row>
    <row r="117" spans="2:3">
      <c r="B117" s="311" t="s">
        <v>1518</v>
      </c>
      <c r="C117" s="312">
        <v>36594</v>
      </c>
    </row>
    <row r="118" spans="2:3">
      <c r="B118" s="311" t="s">
        <v>201</v>
      </c>
      <c r="C118" s="312">
        <v>36000</v>
      </c>
    </row>
    <row r="119" spans="2:3">
      <c r="B119" s="311" t="s">
        <v>641</v>
      </c>
      <c r="C119" s="312">
        <v>35448</v>
      </c>
    </row>
    <row r="120" spans="2:3">
      <c r="B120" s="311" t="s">
        <v>1412</v>
      </c>
      <c r="C120" s="312">
        <v>34932</v>
      </c>
    </row>
    <row r="121" spans="2:3">
      <c r="B121" s="311" t="s">
        <v>1388</v>
      </c>
      <c r="C121" s="312">
        <v>34500</v>
      </c>
    </row>
    <row r="122" spans="2:3">
      <c r="B122" s="311" t="s">
        <v>135</v>
      </c>
      <c r="C122" s="312">
        <v>33384</v>
      </c>
    </row>
    <row r="123" spans="2:3">
      <c r="B123" s="311" t="s">
        <v>1700</v>
      </c>
      <c r="C123" s="312">
        <v>33180</v>
      </c>
    </row>
    <row r="124" spans="2:3">
      <c r="B124" s="311" t="s">
        <v>600</v>
      </c>
      <c r="C124" s="312">
        <v>33000</v>
      </c>
    </row>
    <row r="125" spans="2:3">
      <c r="B125" s="311" t="s">
        <v>974</v>
      </c>
      <c r="C125" s="312">
        <v>32481.000000000004</v>
      </c>
    </row>
    <row r="126" spans="2:3">
      <c r="B126" s="311" t="s">
        <v>805</v>
      </c>
      <c r="C126" s="312">
        <v>32400</v>
      </c>
    </row>
    <row r="127" spans="2:3">
      <c r="B127" s="311" t="s">
        <v>194</v>
      </c>
      <c r="C127" s="312">
        <v>32100</v>
      </c>
    </row>
    <row r="128" spans="2:3">
      <c r="B128" s="311" t="s">
        <v>309</v>
      </c>
      <c r="C128" s="312">
        <v>32000</v>
      </c>
    </row>
    <row r="129" spans="2:3">
      <c r="B129" s="311" t="s">
        <v>1717</v>
      </c>
      <c r="C129" s="312">
        <v>32000</v>
      </c>
    </row>
    <row r="130" spans="2:3">
      <c r="B130" s="311" t="s">
        <v>1015</v>
      </c>
      <c r="C130" s="312">
        <v>31500</v>
      </c>
    </row>
    <row r="131" spans="2:3">
      <c r="B131" s="311" t="s">
        <v>582</v>
      </c>
      <c r="C131" s="312">
        <v>31000</v>
      </c>
    </row>
    <row r="132" spans="2:3">
      <c r="B132" s="311" t="s">
        <v>723</v>
      </c>
      <c r="C132" s="312">
        <v>30400</v>
      </c>
    </row>
    <row r="133" spans="2:3">
      <c r="B133" s="311" t="s">
        <v>1247</v>
      </c>
      <c r="C133" s="312">
        <v>30109.8</v>
      </c>
    </row>
    <row r="134" spans="2:3">
      <c r="B134" s="311" t="s">
        <v>105</v>
      </c>
      <c r="C134" s="312">
        <v>30000</v>
      </c>
    </row>
    <row r="135" spans="2:3">
      <c r="B135" s="311" t="s">
        <v>142</v>
      </c>
      <c r="C135" s="312">
        <v>30000</v>
      </c>
    </row>
    <row r="136" spans="2:3">
      <c r="B136" s="311" t="s">
        <v>227</v>
      </c>
      <c r="C136" s="312">
        <v>30000</v>
      </c>
    </row>
    <row r="137" spans="2:3">
      <c r="B137" s="311" t="s">
        <v>666</v>
      </c>
      <c r="C137" s="312">
        <v>30000</v>
      </c>
    </row>
    <row r="138" spans="2:3">
      <c r="B138" s="311" t="s">
        <v>838</v>
      </c>
      <c r="C138" s="312">
        <v>30000</v>
      </c>
    </row>
    <row r="139" spans="2:3">
      <c r="B139" s="311" t="s">
        <v>1369</v>
      </c>
      <c r="C139" s="312">
        <v>30000</v>
      </c>
    </row>
    <row r="140" spans="2:3">
      <c r="B140" s="311" t="s">
        <v>1485</v>
      </c>
      <c r="C140" s="312">
        <v>29960</v>
      </c>
    </row>
    <row r="141" spans="2:3">
      <c r="B141" s="311" t="s">
        <v>1076</v>
      </c>
      <c r="C141" s="312">
        <v>29000</v>
      </c>
    </row>
    <row r="142" spans="2:3">
      <c r="B142" s="311" t="s">
        <v>913</v>
      </c>
      <c r="C142" s="312">
        <v>28890</v>
      </c>
    </row>
    <row r="143" spans="2:3">
      <c r="B143" s="311" t="s">
        <v>1472</v>
      </c>
      <c r="C143" s="312">
        <v>28890</v>
      </c>
    </row>
    <row r="144" spans="2:3">
      <c r="B144" s="311" t="s">
        <v>1498</v>
      </c>
      <c r="C144" s="312">
        <v>28200</v>
      </c>
    </row>
    <row r="145" spans="2:3">
      <c r="B145" s="311" t="s">
        <v>1628</v>
      </c>
      <c r="C145" s="312">
        <v>28000</v>
      </c>
    </row>
    <row r="146" spans="2:3">
      <c r="B146" s="311" t="s">
        <v>155</v>
      </c>
      <c r="C146" s="312">
        <v>27819.999999999993</v>
      </c>
    </row>
    <row r="147" spans="2:3">
      <c r="B147" s="311" t="s">
        <v>1489</v>
      </c>
      <c r="C147" s="312">
        <v>27000</v>
      </c>
    </row>
    <row r="148" spans="2:3">
      <c r="B148" s="311" t="s">
        <v>508</v>
      </c>
      <c r="C148" s="312">
        <v>26964</v>
      </c>
    </row>
    <row r="149" spans="2:3">
      <c r="B149" s="311" t="s">
        <v>685</v>
      </c>
      <c r="C149" s="312">
        <v>26448</v>
      </c>
    </row>
    <row r="150" spans="2:3">
      <c r="B150" s="311" t="s">
        <v>1408</v>
      </c>
      <c r="C150" s="312">
        <v>26400</v>
      </c>
    </row>
    <row r="151" spans="2:3">
      <c r="B151" s="311" t="s">
        <v>1610</v>
      </c>
      <c r="C151" s="312">
        <v>26400</v>
      </c>
    </row>
    <row r="152" spans="2:3">
      <c r="B152" s="311" t="s">
        <v>1651</v>
      </c>
      <c r="C152" s="312">
        <v>26000</v>
      </c>
    </row>
    <row r="153" spans="2:3">
      <c r="B153" s="311" t="s">
        <v>1119</v>
      </c>
      <c r="C153" s="312">
        <v>25680</v>
      </c>
    </row>
    <row r="154" spans="2:3">
      <c r="B154" s="311" t="s">
        <v>326</v>
      </c>
      <c r="C154" s="312">
        <v>25650</v>
      </c>
    </row>
    <row r="155" spans="2:3">
      <c r="B155" s="311" t="s">
        <v>816</v>
      </c>
      <c r="C155" s="312">
        <v>25600</v>
      </c>
    </row>
    <row r="156" spans="2:3">
      <c r="B156" s="311" t="s">
        <v>367</v>
      </c>
      <c r="C156" s="312">
        <v>25006</v>
      </c>
    </row>
    <row r="157" spans="2:3">
      <c r="B157" s="311" t="s">
        <v>777</v>
      </c>
      <c r="C157" s="312">
        <v>25000</v>
      </c>
    </row>
    <row r="158" spans="2:3">
      <c r="B158" s="311" t="s">
        <v>1622</v>
      </c>
      <c r="C158" s="312">
        <v>25000</v>
      </c>
    </row>
    <row r="159" spans="2:3">
      <c r="B159" s="311" t="s">
        <v>265</v>
      </c>
      <c r="C159" s="312">
        <v>24824</v>
      </c>
    </row>
    <row r="160" spans="2:3">
      <c r="B160" s="311" t="s">
        <v>378</v>
      </c>
      <c r="C160" s="312">
        <v>24800</v>
      </c>
    </row>
    <row r="161" spans="2:3">
      <c r="B161" s="311" t="s">
        <v>847</v>
      </c>
      <c r="C161" s="312">
        <v>24720</v>
      </c>
    </row>
    <row r="162" spans="2:3">
      <c r="B162" s="311" t="s">
        <v>1616</v>
      </c>
      <c r="C162" s="312">
        <v>24500</v>
      </c>
    </row>
    <row r="163" spans="2:3">
      <c r="B163" s="311" t="s">
        <v>830</v>
      </c>
      <c r="C163" s="312">
        <v>24000</v>
      </c>
    </row>
    <row r="164" spans="2:3">
      <c r="B164" s="311" t="s">
        <v>1043</v>
      </c>
      <c r="C164" s="312">
        <v>24000</v>
      </c>
    </row>
    <row r="165" spans="2:3">
      <c r="B165" s="311" t="s">
        <v>1491</v>
      </c>
      <c r="C165" s="312">
        <v>24000</v>
      </c>
    </row>
    <row r="166" spans="2:3">
      <c r="B166" s="311" t="s">
        <v>1505</v>
      </c>
      <c r="C166" s="312">
        <v>23807.5</v>
      </c>
    </row>
    <row r="167" spans="2:3">
      <c r="B167" s="311" t="s">
        <v>406</v>
      </c>
      <c r="C167" s="312">
        <v>23540</v>
      </c>
    </row>
    <row r="168" spans="2:3">
      <c r="B168" s="311" t="s">
        <v>1240</v>
      </c>
      <c r="C168" s="312">
        <v>23100</v>
      </c>
    </row>
    <row r="169" spans="2:3">
      <c r="B169" s="311" t="s">
        <v>1725</v>
      </c>
      <c r="C169" s="312">
        <v>22400</v>
      </c>
    </row>
    <row r="170" spans="2:3">
      <c r="B170" s="311" t="s">
        <v>1564</v>
      </c>
      <c r="C170" s="312">
        <v>22100</v>
      </c>
    </row>
    <row r="171" spans="2:3">
      <c r="B171" s="311" t="s">
        <v>751</v>
      </c>
      <c r="C171" s="312">
        <v>22000</v>
      </c>
    </row>
    <row r="172" spans="2:3">
      <c r="B172" s="311" t="s">
        <v>1027</v>
      </c>
      <c r="C172" s="312">
        <v>22000</v>
      </c>
    </row>
    <row r="173" spans="2:3">
      <c r="B173" s="311" t="s">
        <v>1637</v>
      </c>
      <c r="C173" s="312">
        <v>21600</v>
      </c>
    </row>
    <row r="174" spans="2:3">
      <c r="B174" s="311" t="s">
        <v>482</v>
      </c>
      <c r="C174" s="312">
        <v>21400</v>
      </c>
    </row>
    <row r="175" spans="2:3">
      <c r="B175" s="311" t="s">
        <v>1361</v>
      </c>
      <c r="C175" s="312">
        <v>21400</v>
      </c>
    </row>
    <row r="176" spans="2:3">
      <c r="B176" s="311" t="s">
        <v>99</v>
      </c>
      <c r="C176" s="312">
        <v>21240</v>
      </c>
    </row>
    <row r="177" spans="2:3">
      <c r="B177" s="311" t="s">
        <v>1131</v>
      </c>
      <c r="C177" s="312">
        <v>21097.200000000001</v>
      </c>
    </row>
    <row r="178" spans="2:3">
      <c r="B178" s="311" t="s">
        <v>159</v>
      </c>
      <c r="C178" s="312">
        <v>21000</v>
      </c>
    </row>
    <row r="179" spans="2:3">
      <c r="B179" s="311" t="s">
        <v>248</v>
      </c>
      <c r="C179" s="312">
        <v>21000</v>
      </c>
    </row>
    <row r="180" spans="2:3">
      <c r="B180" s="311" t="s">
        <v>260</v>
      </c>
      <c r="C180" s="312">
        <v>20000</v>
      </c>
    </row>
    <row r="181" spans="2:3">
      <c r="B181" s="311" t="s">
        <v>513</v>
      </c>
      <c r="C181" s="312">
        <v>20000</v>
      </c>
    </row>
    <row r="182" spans="2:3">
      <c r="B182" s="311" t="s">
        <v>882</v>
      </c>
      <c r="C182" s="312">
        <v>20000</v>
      </c>
    </row>
    <row r="183" spans="2:3">
      <c r="B183" s="311" t="s">
        <v>1475</v>
      </c>
      <c r="C183" s="312">
        <v>20000</v>
      </c>
    </row>
    <row r="184" spans="2:3">
      <c r="B184" s="311" t="s">
        <v>1714</v>
      </c>
      <c r="C184" s="312">
        <v>20000</v>
      </c>
    </row>
    <row r="185" spans="2:3">
      <c r="B185" s="311" t="s">
        <v>399</v>
      </c>
      <c r="C185" s="312">
        <v>19500</v>
      </c>
    </row>
    <row r="186" spans="2:3">
      <c r="B186" s="311" t="s">
        <v>463</v>
      </c>
      <c r="C186" s="312">
        <v>19200</v>
      </c>
    </row>
    <row r="187" spans="2:3">
      <c r="B187" s="311" t="s">
        <v>701</v>
      </c>
      <c r="C187" s="312">
        <v>18939</v>
      </c>
    </row>
    <row r="188" spans="2:3">
      <c r="B188" s="311" t="s">
        <v>1445</v>
      </c>
      <c r="C188" s="312">
        <v>18900</v>
      </c>
    </row>
    <row r="189" spans="2:3">
      <c r="B189" s="311" t="s">
        <v>1315</v>
      </c>
      <c r="C189" s="312">
        <v>18800</v>
      </c>
    </row>
    <row r="190" spans="2:3">
      <c r="B190" s="311" t="s">
        <v>487</v>
      </c>
      <c r="C190" s="312">
        <v>18000</v>
      </c>
    </row>
    <row r="191" spans="2:3">
      <c r="B191" s="311" t="s">
        <v>1352</v>
      </c>
      <c r="C191" s="312">
        <v>18000</v>
      </c>
    </row>
    <row r="192" spans="2:3">
      <c r="B192" s="311" t="s">
        <v>1380</v>
      </c>
      <c r="C192" s="312">
        <v>18000</v>
      </c>
    </row>
    <row r="193" spans="2:3">
      <c r="B193" s="311" t="s">
        <v>1663</v>
      </c>
      <c r="C193" s="312">
        <v>18000</v>
      </c>
    </row>
    <row r="194" spans="2:3">
      <c r="B194" s="311" t="s">
        <v>898</v>
      </c>
      <c r="C194" s="312">
        <v>17730</v>
      </c>
    </row>
    <row r="195" spans="2:3">
      <c r="B195" s="311" t="s">
        <v>59</v>
      </c>
      <c r="C195" s="312">
        <v>17500</v>
      </c>
    </row>
    <row r="196" spans="2:3">
      <c r="B196" s="311" t="s">
        <v>719</v>
      </c>
      <c r="C196" s="312">
        <v>17200</v>
      </c>
    </row>
    <row r="197" spans="2:3">
      <c r="B197" s="311" t="s">
        <v>279</v>
      </c>
      <c r="C197" s="312">
        <v>17000</v>
      </c>
    </row>
    <row r="198" spans="2:3">
      <c r="B198" s="311" t="s">
        <v>1184</v>
      </c>
      <c r="C198" s="312">
        <v>17000</v>
      </c>
    </row>
    <row r="199" spans="2:3">
      <c r="B199" s="311" t="s">
        <v>1356</v>
      </c>
      <c r="C199" s="312">
        <v>17000</v>
      </c>
    </row>
    <row r="200" spans="2:3">
      <c r="B200" s="311" t="s">
        <v>530</v>
      </c>
      <c r="C200" s="312">
        <v>16800</v>
      </c>
    </row>
    <row r="201" spans="2:3">
      <c r="B201" s="311" t="s">
        <v>1544</v>
      </c>
      <c r="C201" s="312">
        <v>16800</v>
      </c>
    </row>
    <row r="202" spans="2:3">
      <c r="B202" s="311" t="s">
        <v>765</v>
      </c>
      <c r="C202" s="312">
        <v>16416</v>
      </c>
    </row>
    <row r="203" spans="2:3">
      <c r="B203" s="311" t="s">
        <v>714</v>
      </c>
      <c r="C203" s="312">
        <v>16200</v>
      </c>
    </row>
    <row r="204" spans="2:3">
      <c r="B204" s="311" t="s">
        <v>1222</v>
      </c>
      <c r="C204" s="312">
        <v>16200</v>
      </c>
    </row>
    <row r="205" spans="2:3">
      <c r="B205" s="311" t="s">
        <v>886</v>
      </c>
      <c r="C205" s="312">
        <v>16049.999999999998</v>
      </c>
    </row>
    <row r="206" spans="2:3">
      <c r="B206" s="311" t="s">
        <v>1007</v>
      </c>
      <c r="C206" s="312">
        <v>16000</v>
      </c>
    </row>
    <row r="207" spans="2:3">
      <c r="B207" s="311" t="s">
        <v>1554</v>
      </c>
      <c r="C207" s="312">
        <v>16000</v>
      </c>
    </row>
    <row r="208" spans="2:3">
      <c r="B208" s="311" t="s">
        <v>253</v>
      </c>
      <c r="C208" s="312">
        <v>15980</v>
      </c>
    </row>
    <row r="209" spans="2:3">
      <c r="B209" s="311" t="s">
        <v>627</v>
      </c>
      <c r="C209" s="312">
        <v>15960</v>
      </c>
    </row>
    <row r="210" spans="2:3">
      <c r="B210" s="311" t="s">
        <v>1188</v>
      </c>
      <c r="C210" s="312">
        <v>15750</v>
      </c>
    </row>
    <row r="211" spans="2:3">
      <c r="B211" s="311" t="s">
        <v>1311</v>
      </c>
      <c r="C211" s="312">
        <v>15603</v>
      </c>
    </row>
    <row r="212" spans="2:3">
      <c r="B212" s="311" t="s">
        <v>566</v>
      </c>
      <c r="C212" s="312">
        <v>15400</v>
      </c>
    </row>
    <row r="213" spans="2:3">
      <c r="B213" s="311" t="s">
        <v>963</v>
      </c>
      <c r="C213" s="312">
        <v>15000</v>
      </c>
    </row>
    <row r="214" spans="2:3">
      <c r="B214" s="311" t="s">
        <v>1136</v>
      </c>
      <c r="C214" s="312">
        <v>15000</v>
      </c>
    </row>
    <row r="215" spans="2:3">
      <c r="B215" s="311" t="s">
        <v>1693</v>
      </c>
      <c r="C215" s="312">
        <v>15000</v>
      </c>
    </row>
    <row r="216" spans="2:3">
      <c r="B216" s="311" t="s">
        <v>865</v>
      </c>
      <c r="C216" s="312">
        <v>14400</v>
      </c>
    </row>
    <row r="217" spans="2:3">
      <c r="B217" s="311" t="s">
        <v>1487</v>
      </c>
      <c r="C217" s="312">
        <v>14200</v>
      </c>
    </row>
    <row r="218" spans="2:3">
      <c r="B218" s="311" t="s">
        <v>354</v>
      </c>
      <c r="C218" s="312">
        <v>14000</v>
      </c>
    </row>
    <row r="219" spans="2:3">
      <c r="B219" s="311" t="s">
        <v>539</v>
      </c>
      <c r="C219" s="312">
        <v>14000</v>
      </c>
    </row>
    <row r="220" spans="2:3">
      <c r="B220" s="311" t="s">
        <v>545</v>
      </c>
      <c r="C220" s="312">
        <v>14000</v>
      </c>
    </row>
    <row r="221" spans="2:3">
      <c r="B221" s="311" t="s">
        <v>1336</v>
      </c>
      <c r="C221" s="312">
        <v>14000</v>
      </c>
    </row>
    <row r="222" spans="2:3">
      <c r="B222" s="311" t="s">
        <v>553</v>
      </c>
      <c r="C222" s="312">
        <v>13500</v>
      </c>
    </row>
    <row r="223" spans="2:3">
      <c r="B223" s="311" t="s">
        <v>1571</v>
      </c>
      <c r="C223" s="312">
        <v>13500</v>
      </c>
    </row>
    <row r="224" spans="2:3">
      <c r="B224" s="311" t="s">
        <v>382</v>
      </c>
      <c r="C224" s="312">
        <v>13440</v>
      </c>
    </row>
    <row r="225" spans="2:3">
      <c r="B225" s="311" t="s">
        <v>1299</v>
      </c>
      <c r="C225" s="312">
        <v>13200</v>
      </c>
    </row>
    <row r="226" spans="2:3">
      <c r="B226" s="311" t="s">
        <v>534</v>
      </c>
      <c r="C226" s="312">
        <v>13000</v>
      </c>
    </row>
    <row r="227" spans="2:3">
      <c r="B227" s="311" t="s">
        <v>1100</v>
      </c>
      <c r="C227" s="312">
        <v>12950</v>
      </c>
    </row>
    <row r="228" spans="2:3">
      <c r="B228" s="311" t="s">
        <v>1320</v>
      </c>
      <c r="C228" s="312">
        <v>12840</v>
      </c>
    </row>
    <row r="229" spans="2:3">
      <c r="B229" s="311" t="s">
        <v>1281</v>
      </c>
      <c r="C229" s="312">
        <v>12800</v>
      </c>
    </row>
    <row r="230" spans="2:3">
      <c r="B230" s="311" t="s">
        <v>1722</v>
      </c>
      <c r="C230" s="312">
        <v>12800</v>
      </c>
    </row>
    <row r="231" spans="2:3">
      <c r="B231" s="311" t="s">
        <v>183</v>
      </c>
      <c r="C231" s="312">
        <v>12610</v>
      </c>
    </row>
    <row r="232" spans="2:3">
      <c r="B232" s="311" t="s">
        <v>418</v>
      </c>
      <c r="C232" s="312">
        <v>12600</v>
      </c>
    </row>
    <row r="233" spans="2:3">
      <c r="B233" s="311" t="s">
        <v>1218</v>
      </c>
      <c r="C233" s="312">
        <v>12500</v>
      </c>
    </row>
    <row r="234" spans="2:3">
      <c r="B234" s="311" t="s">
        <v>1601</v>
      </c>
      <c r="C234" s="312">
        <v>12500</v>
      </c>
    </row>
    <row r="235" spans="2:3">
      <c r="B235" s="311" t="s">
        <v>87</v>
      </c>
      <c r="C235" s="312">
        <v>12197.999999999998</v>
      </c>
    </row>
    <row r="236" spans="2:3">
      <c r="B236" s="311" t="s">
        <v>430</v>
      </c>
      <c r="C236" s="312">
        <v>12000</v>
      </c>
    </row>
    <row r="237" spans="2:3">
      <c r="B237" s="311" t="s">
        <v>689</v>
      </c>
      <c r="C237" s="312">
        <v>12000</v>
      </c>
    </row>
    <row r="238" spans="2:3">
      <c r="B238" s="311" t="s">
        <v>989</v>
      </c>
      <c r="C238" s="312">
        <v>12000</v>
      </c>
    </row>
    <row r="239" spans="2:3">
      <c r="B239" s="311" t="s">
        <v>1332</v>
      </c>
      <c r="C239" s="312">
        <v>11984</v>
      </c>
    </row>
    <row r="240" spans="2:3">
      <c r="B240" s="311" t="s">
        <v>1667</v>
      </c>
      <c r="C240" s="312">
        <v>11800</v>
      </c>
    </row>
    <row r="241" spans="2:3">
      <c r="B241" s="311" t="s">
        <v>970</v>
      </c>
      <c r="C241" s="312">
        <v>11550</v>
      </c>
    </row>
    <row r="242" spans="2:3">
      <c r="B242" s="311" t="s">
        <v>131</v>
      </c>
      <c r="C242" s="312">
        <v>11200</v>
      </c>
    </row>
    <row r="243" spans="2:3">
      <c r="B243" s="311" t="s">
        <v>350</v>
      </c>
      <c r="C243" s="312">
        <v>11000</v>
      </c>
    </row>
    <row r="244" spans="2:3">
      <c r="B244" s="311" t="s">
        <v>1594</v>
      </c>
      <c r="C244" s="312">
        <v>10980</v>
      </c>
    </row>
    <row r="245" spans="2:3">
      <c r="B245" s="311" t="s">
        <v>395</v>
      </c>
      <c r="C245" s="312">
        <v>10914</v>
      </c>
    </row>
    <row r="246" spans="2:3">
      <c r="B246" s="311" t="s">
        <v>358</v>
      </c>
      <c r="C246" s="312">
        <v>10800</v>
      </c>
    </row>
    <row r="247" spans="2:3">
      <c r="B247" s="311" t="s">
        <v>1258</v>
      </c>
      <c r="C247" s="312">
        <v>10800</v>
      </c>
    </row>
    <row r="248" spans="2:3">
      <c r="B248" s="311" t="s">
        <v>790</v>
      </c>
      <c r="C248" s="312">
        <v>10500</v>
      </c>
    </row>
    <row r="249" spans="2:3">
      <c r="B249" s="311" t="s">
        <v>1432</v>
      </c>
      <c r="C249" s="312">
        <v>10500</v>
      </c>
    </row>
    <row r="250" spans="2:3">
      <c r="B250" s="311" t="s">
        <v>1434</v>
      </c>
      <c r="C250" s="312">
        <v>10500</v>
      </c>
    </row>
    <row r="251" spans="2:3">
      <c r="B251" s="311" t="s">
        <v>526</v>
      </c>
      <c r="C251" s="312">
        <v>10000</v>
      </c>
    </row>
    <row r="252" spans="2:3">
      <c r="B252" s="311" t="s">
        <v>1096</v>
      </c>
      <c r="C252" s="312">
        <v>10000</v>
      </c>
    </row>
    <row r="253" spans="2:3">
      <c r="B253" s="311" t="s">
        <v>1641</v>
      </c>
      <c r="C253" s="312">
        <v>10000</v>
      </c>
    </row>
    <row r="254" spans="2:3">
      <c r="B254" s="311" t="s">
        <v>1060</v>
      </c>
      <c r="C254" s="312">
        <v>9600</v>
      </c>
    </row>
    <row r="255" spans="2:3">
      <c r="B255" s="311" t="s">
        <v>1670</v>
      </c>
      <c r="C255" s="312">
        <v>9600</v>
      </c>
    </row>
    <row r="256" spans="2:3">
      <c r="B256" s="311" t="s">
        <v>1348</v>
      </c>
      <c r="C256" s="312">
        <v>9500</v>
      </c>
    </row>
    <row r="257" spans="2:3">
      <c r="B257" s="311" t="s">
        <v>164</v>
      </c>
      <c r="C257" s="312">
        <v>9180</v>
      </c>
    </row>
    <row r="258" spans="2:3">
      <c r="B258" s="311" t="s">
        <v>1088</v>
      </c>
      <c r="C258" s="312">
        <v>8902.4</v>
      </c>
    </row>
    <row r="259" spans="2:3">
      <c r="B259" s="311" t="s">
        <v>492</v>
      </c>
      <c r="C259" s="312">
        <v>8830</v>
      </c>
    </row>
    <row r="260" spans="2:3">
      <c r="B260" s="311" t="s">
        <v>1720</v>
      </c>
      <c r="C260" s="312">
        <v>8800</v>
      </c>
    </row>
    <row r="261" spans="2:3">
      <c r="B261" s="311" t="s">
        <v>403</v>
      </c>
      <c r="C261" s="312">
        <v>8640</v>
      </c>
    </row>
    <row r="262" spans="2:3">
      <c r="B262" s="311" t="s">
        <v>336</v>
      </c>
      <c r="C262" s="312">
        <v>8600</v>
      </c>
    </row>
    <row r="263" spans="2:3">
      <c r="B263" s="311" t="s">
        <v>1438</v>
      </c>
      <c r="C263" s="312">
        <v>8474.4000000000015</v>
      </c>
    </row>
    <row r="264" spans="2:3">
      <c r="B264" s="311" t="s">
        <v>244</v>
      </c>
      <c r="C264" s="312">
        <v>8400</v>
      </c>
    </row>
    <row r="265" spans="2:3">
      <c r="B265" s="311" t="s">
        <v>1642</v>
      </c>
      <c r="C265" s="312">
        <v>8400</v>
      </c>
    </row>
    <row r="266" spans="2:3">
      <c r="B266" s="311" t="s">
        <v>1598</v>
      </c>
      <c r="C266" s="312">
        <v>8160</v>
      </c>
    </row>
    <row r="267" spans="2:3">
      <c r="B267" s="311" t="s">
        <v>761</v>
      </c>
      <c r="C267" s="312">
        <v>8000</v>
      </c>
    </row>
    <row r="268" spans="2:3">
      <c r="B268" s="311" t="s">
        <v>812</v>
      </c>
      <c r="C268" s="312">
        <v>8000</v>
      </c>
    </row>
    <row r="269" spans="2:3">
      <c r="B269" s="311" t="s">
        <v>1154</v>
      </c>
      <c r="C269" s="312">
        <v>8000</v>
      </c>
    </row>
    <row r="270" spans="2:3">
      <c r="B270" s="311" t="s">
        <v>341</v>
      </c>
      <c r="C270" s="312">
        <v>7700</v>
      </c>
    </row>
    <row r="271" spans="2:3">
      <c r="B271" s="311" t="s">
        <v>736</v>
      </c>
      <c r="C271" s="312">
        <v>7500</v>
      </c>
    </row>
    <row r="272" spans="2:3">
      <c r="B272" s="311" t="s">
        <v>994</v>
      </c>
      <c r="C272" s="312">
        <v>7500</v>
      </c>
    </row>
    <row r="273" spans="2:3">
      <c r="B273" s="311" t="s">
        <v>1495</v>
      </c>
      <c r="C273" s="312">
        <v>7500</v>
      </c>
    </row>
    <row r="274" spans="2:3">
      <c r="B274" s="311" t="s">
        <v>769</v>
      </c>
      <c r="C274" s="312">
        <v>7204.0000000000009</v>
      </c>
    </row>
    <row r="275" spans="2:3">
      <c r="B275" s="311" t="s">
        <v>1197</v>
      </c>
      <c r="C275" s="312">
        <v>7200</v>
      </c>
    </row>
    <row r="276" spans="2:3">
      <c r="B276" s="311" t="s">
        <v>1502</v>
      </c>
      <c r="C276" s="312">
        <v>6975</v>
      </c>
    </row>
    <row r="277" spans="2:3">
      <c r="B277" s="311" t="s">
        <v>1584</v>
      </c>
      <c r="C277" s="312">
        <v>6720</v>
      </c>
    </row>
    <row r="278" spans="2:3">
      <c r="B278" s="311" t="s">
        <v>1324</v>
      </c>
      <c r="C278" s="312">
        <v>6600</v>
      </c>
    </row>
    <row r="279" spans="2:3">
      <c r="B279" s="311" t="s">
        <v>330</v>
      </c>
      <c r="C279" s="312">
        <v>6559.9999999999991</v>
      </c>
    </row>
    <row r="280" spans="2:3">
      <c r="B280" s="311" t="s">
        <v>1072</v>
      </c>
      <c r="C280" s="312">
        <v>6450</v>
      </c>
    </row>
    <row r="281" spans="2:3">
      <c r="B281" s="311" t="s">
        <v>93</v>
      </c>
      <c r="C281" s="312">
        <v>6420</v>
      </c>
    </row>
    <row r="282" spans="2:3">
      <c r="B282" s="311" t="s">
        <v>441</v>
      </c>
      <c r="C282" s="312">
        <v>6420</v>
      </c>
    </row>
    <row r="283" spans="2:3">
      <c r="B283" s="311" t="s">
        <v>456</v>
      </c>
      <c r="C283" s="312">
        <v>6420</v>
      </c>
    </row>
    <row r="284" spans="2:3">
      <c r="B284" s="311" t="s">
        <v>109</v>
      </c>
      <c r="C284" s="312">
        <v>6206</v>
      </c>
    </row>
    <row r="285" spans="2:3">
      <c r="B285" s="311" t="s">
        <v>1344</v>
      </c>
      <c r="C285" s="312">
        <v>6087.6</v>
      </c>
    </row>
    <row r="286" spans="2:3">
      <c r="B286" s="311" t="s">
        <v>1112</v>
      </c>
      <c r="C286" s="312">
        <v>6000</v>
      </c>
    </row>
    <row r="287" spans="2:3">
      <c r="B287" s="311" t="s">
        <v>1139</v>
      </c>
      <c r="C287" s="312">
        <v>6000</v>
      </c>
    </row>
    <row r="288" spans="2:3">
      <c r="B288" s="311" t="s">
        <v>1660</v>
      </c>
      <c r="C288" s="312">
        <v>6000</v>
      </c>
    </row>
    <row r="289" spans="2:3">
      <c r="B289" s="311" t="s">
        <v>1697</v>
      </c>
      <c r="C289" s="312">
        <v>6000</v>
      </c>
    </row>
    <row r="290" spans="2:3">
      <c r="B290" s="311" t="s">
        <v>321</v>
      </c>
      <c r="C290" s="312">
        <v>5850</v>
      </c>
    </row>
    <row r="291" spans="2:3">
      <c r="B291" s="311" t="s">
        <v>709</v>
      </c>
      <c r="C291" s="312">
        <v>5700</v>
      </c>
    </row>
    <row r="292" spans="2:3">
      <c r="B292" s="311" t="s">
        <v>301</v>
      </c>
      <c r="C292" s="312">
        <v>5560</v>
      </c>
    </row>
    <row r="293" spans="2:3">
      <c r="B293" s="311" t="s">
        <v>1003</v>
      </c>
      <c r="C293" s="312">
        <v>5500</v>
      </c>
    </row>
    <row r="294" spans="2:3">
      <c r="B294" s="311" t="s">
        <v>471</v>
      </c>
      <c r="C294" s="312">
        <v>5480</v>
      </c>
    </row>
    <row r="295" spans="2:3">
      <c r="B295" s="311" t="s">
        <v>177</v>
      </c>
      <c r="C295" s="312">
        <v>5400</v>
      </c>
    </row>
    <row r="296" spans="2:3">
      <c r="B296" s="311" t="s">
        <v>740</v>
      </c>
      <c r="C296" s="312">
        <v>5400</v>
      </c>
    </row>
    <row r="297" spans="2:3">
      <c r="B297" s="311" t="s">
        <v>1167</v>
      </c>
      <c r="C297" s="312">
        <v>5400</v>
      </c>
    </row>
    <row r="298" spans="2:3">
      <c r="B298" s="311" t="s">
        <v>1458</v>
      </c>
      <c r="C298" s="312">
        <v>5400</v>
      </c>
    </row>
    <row r="299" spans="2:3">
      <c r="B299" s="311" t="s">
        <v>1532</v>
      </c>
      <c r="C299" s="312">
        <v>5040</v>
      </c>
    </row>
    <row r="300" spans="2:3">
      <c r="B300" s="311" t="s">
        <v>1254</v>
      </c>
      <c r="C300" s="312">
        <v>5020</v>
      </c>
    </row>
    <row r="301" spans="2:3">
      <c r="B301" s="311" t="s">
        <v>468</v>
      </c>
      <c r="C301" s="312">
        <v>4860</v>
      </c>
    </row>
    <row r="302" spans="2:3">
      <c r="B302" s="311" t="s">
        <v>999</v>
      </c>
      <c r="C302" s="312">
        <v>4840</v>
      </c>
    </row>
    <row r="303" spans="2:3">
      <c r="B303" s="311" t="s">
        <v>521</v>
      </c>
      <c r="C303" s="312">
        <v>4800</v>
      </c>
    </row>
    <row r="304" spans="2:3">
      <c r="B304" s="311" t="s">
        <v>1468</v>
      </c>
      <c r="C304" s="312">
        <v>4800</v>
      </c>
    </row>
    <row r="305" spans="2:3">
      <c r="B305" s="311" t="s">
        <v>1686</v>
      </c>
      <c r="C305" s="312">
        <v>4750</v>
      </c>
    </row>
    <row r="306" spans="2:3">
      <c r="B306" s="311" t="s">
        <v>773</v>
      </c>
      <c r="C306" s="312">
        <v>4500</v>
      </c>
    </row>
    <row r="307" spans="2:3">
      <c r="B307" s="311" t="s">
        <v>1529</v>
      </c>
      <c r="C307" s="312">
        <v>4500</v>
      </c>
    </row>
    <row r="308" spans="2:3">
      <c r="B308" s="311" t="s">
        <v>289</v>
      </c>
      <c r="C308" s="312">
        <v>4494</v>
      </c>
    </row>
    <row r="309" spans="2:3">
      <c r="B309" s="311" t="s">
        <v>1481</v>
      </c>
      <c r="C309" s="312">
        <v>4400</v>
      </c>
    </row>
    <row r="310" spans="2:3">
      <c r="B310" s="311" t="s">
        <v>1068</v>
      </c>
      <c r="C310" s="312">
        <v>4320</v>
      </c>
    </row>
    <row r="311" spans="2:3">
      <c r="B311" s="311" t="s">
        <v>422</v>
      </c>
      <c r="C311" s="312">
        <v>4280</v>
      </c>
    </row>
    <row r="312" spans="2:3">
      <c r="B312" s="311" t="s">
        <v>121</v>
      </c>
      <c r="C312" s="312">
        <v>4200</v>
      </c>
    </row>
    <row r="313" spans="2:3">
      <c r="B313" s="311" t="s">
        <v>346</v>
      </c>
      <c r="C313" s="312">
        <v>4200</v>
      </c>
    </row>
    <row r="314" spans="2:3">
      <c r="B314" s="311" t="s">
        <v>1707</v>
      </c>
      <c r="C314" s="312">
        <v>4108.7999999999993</v>
      </c>
    </row>
    <row r="315" spans="2:3">
      <c r="B315" s="311" t="s">
        <v>979</v>
      </c>
      <c r="C315" s="312">
        <v>4060</v>
      </c>
    </row>
    <row r="316" spans="2:3">
      <c r="B316" s="311" t="s">
        <v>809</v>
      </c>
      <c r="C316" s="312">
        <v>4050</v>
      </c>
    </row>
    <row r="317" spans="2:3">
      <c r="B317" s="311" t="s">
        <v>1031</v>
      </c>
      <c r="C317" s="312">
        <v>4050</v>
      </c>
    </row>
    <row r="318" spans="2:3">
      <c r="B318" s="311" t="s">
        <v>933</v>
      </c>
      <c r="C318" s="312">
        <v>4020</v>
      </c>
    </row>
    <row r="319" spans="2:3">
      <c r="B319" s="311" t="s">
        <v>370</v>
      </c>
      <c r="C319" s="312">
        <v>4000</v>
      </c>
    </row>
    <row r="320" spans="2:3">
      <c r="B320" s="311" t="s">
        <v>1493</v>
      </c>
      <c r="C320" s="312">
        <v>3880</v>
      </c>
    </row>
    <row r="321" spans="2:3">
      <c r="B321" s="311" t="s">
        <v>1307</v>
      </c>
      <c r="C321" s="312">
        <v>3800</v>
      </c>
    </row>
    <row r="322" spans="2:3">
      <c r="B322" s="311" t="s">
        <v>1568</v>
      </c>
      <c r="C322" s="312">
        <v>3500</v>
      </c>
    </row>
    <row r="323" spans="2:3">
      <c r="B323" s="311" t="s">
        <v>1578</v>
      </c>
      <c r="C323" s="312">
        <v>3500</v>
      </c>
    </row>
    <row r="324" spans="2:3">
      <c r="B324" s="311" t="s">
        <v>1710</v>
      </c>
      <c r="C324" s="312">
        <v>3210</v>
      </c>
    </row>
    <row r="325" spans="2:3">
      <c r="B325" s="311" t="s">
        <v>1084</v>
      </c>
      <c r="C325" s="312">
        <v>3200</v>
      </c>
    </row>
    <row r="326" spans="2:3">
      <c r="B326" s="311" t="s">
        <v>1678</v>
      </c>
      <c r="C326" s="312">
        <v>3200</v>
      </c>
    </row>
    <row r="327" spans="2:3">
      <c r="B327" s="311" t="s">
        <v>78</v>
      </c>
      <c r="C327" s="312">
        <v>3100</v>
      </c>
    </row>
    <row r="328" spans="2:3">
      <c r="B328" s="311" t="s">
        <v>496</v>
      </c>
      <c r="C328" s="312">
        <v>3060</v>
      </c>
    </row>
    <row r="329" spans="2:3">
      <c r="B329" s="311" t="s">
        <v>1591</v>
      </c>
      <c r="C329" s="312">
        <v>3000</v>
      </c>
    </row>
    <row r="330" spans="2:3">
      <c r="B330" s="311" t="s">
        <v>1442</v>
      </c>
      <c r="C330" s="312">
        <v>2950</v>
      </c>
    </row>
    <row r="331" spans="2:3">
      <c r="B331" s="311" t="s">
        <v>917</v>
      </c>
      <c r="C331" s="312">
        <v>2940</v>
      </c>
    </row>
    <row r="332" spans="2:3">
      <c r="B332" s="311" t="s">
        <v>215</v>
      </c>
      <c r="C332" s="312">
        <v>2900</v>
      </c>
    </row>
    <row r="333" spans="2:3">
      <c r="B333" s="311" t="s">
        <v>612</v>
      </c>
      <c r="C333" s="312">
        <v>2900</v>
      </c>
    </row>
    <row r="334" spans="2:3">
      <c r="B334" s="311" t="s">
        <v>126</v>
      </c>
      <c r="C334" s="312">
        <v>2890</v>
      </c>
    </row>
    <row r="335" spans="2:3">
      <c r="B335" s="311" t="s">
        <v>1116</v>
      </c>
      <c r="C335" s="312">
        <v>2889</v>
      </c>
    </row>
    <row r="336" spans="2:3">
      <c r="B336" s="311" t="s">
        <v>854</v>
      </c>
      <c r="C336" s="312">
        <v>2800</v>
      </c>
    </row>
    <row r="337" spans="2:3">
      <c r="B337" s="311" t="s">
        <v>1461</v>
      </c>
      <c r="C337" s="312">
        <v>2724</v>
      </c>
    </row>
    <row r="338" spans="2:3">
      <c r="B338" s="311" t="s">
        <v>151</v>
      </c>
      <c r="C338" s="312">
        <v>2700</v>
      </c>
    </row>
    <row r="339" spans="2:3">
      <c r="B339" s="311" t="s">
        <v>677</v>
      </c>
      <c r="C339" s="312">
        <v>2675</v>
      </c>
    </row>
    <row r="340" spans="2:3">
      <c r="B340" s="311" t="s">
        <v>593</v>
      </c>
      <c r="C340" s="312">
        <v>2610</v>
      </c>
    </row>
    <row r="341" spans="2:3">
      <c r="B341" s="311" t="s">
        <v>1655</v>
      </c>
      <c r="C341" s="312">
        <v>2600</v>
      </c>
    </row>
    <row r="342" spans="2:3">
      <c r="B342" s="311" t="s">
        <v>1265</v>
      </c>
      <c r="C342" s="312">
        <v>2568</v>
      </c>
    </row>
    <row r="343" spans="2:3">
      <c r="B343" s="311" t="s">
        <v>1273</v>
      </c>
      <c r="C343" s="312">
        <v>2568</v>
      </c>
    </row>
    <row r="344" spans="2:3">
      <c r="B344" s="311" t="s">
        <v>1180</v>
      </c>
      <c r="C344" s="312">
        <v>2520</v>
      </c>
    </row>
    <row r="345" spans="2:3">
      <c r="B345" s="311" t="s">
        <v>1619</v>
      </c>
      <c r="C345" s="312">
        <v>2520</v>
      </c>
    </row>
    <row r="346" spans="2:3">
      <c r="B346" s="311" t="s">
        <v>500</v>
      </c>
      <c r="C346" s="312">
        <v>2500</v>
      </c>
    </row>
    <row r="347" spans="2:3">
      <c r="B347" s="311" t="s">
        <v>929</v>
      </c>
      <c r="C347" s="312">
        <v>2500</v>
      </c>
    </row>
    <row r="348" spans="2:3">
      <c r="B348" s="311" t="s">
        <v>1205</v>
      </c>
      <c r="C348" s="312">
        <v>2500</v>
      </c>
    </row>
    <row r="349" spans="2:3">
      <c r="B349" s="311" t="s">
        <v>1372</v>
      </c>
      <c r="C349" s="312">
        <v>2500</v>
      </c>
    </row>
    <row r="350" spans="2:3">
      <c r="B350" s="311" t="s">
        <v>1340</v>
      </c>
      <c r="C350" s="312">
        <v>2400</v>
      </c>
    </row>
    <row r="351" spans="2:3">
      <c r="B351" s="311" t="s">
        <v>1286</v>
      </c>
      <c r="C351" s="312">
        <v>2340</v>
      </c>
    </row>
    <row r="352" spans="2:3">
      <c r="B352" s="311" t="s">
        <v>211</v>
      </c>
      <c r="C352" s="312">
        <v>2300</v>
      </c>
    </row>
    <row r="353" spans="2:3">
      <c r="B353" s="311" t="s">
        <v>955</v>
      </c>
      <c r="C353" s="312">
        <v>2034</v>
      </c>
    </row>
    <row r="354" spans="2:3">
      <c r="B354" s="311" t="s">
        <v>1520</v>
      </c>
      <c r="C354" s="312">
        <v>2013.3000000000002</v>
      </c>
    </row>
    <row r="355" spans="2:3">
      <c r="B355" s="311" t="s">
        <v>1575</v>
      </c>
      <c r="C355" s="312">
        <v>2000</v>
      </c>
    </row>
    <row r="356" spans="2:3">
      <c r="B356" s="311" t="s">
        <v>1607</v>
      </c>
      <c r="C356" s="312">
        <v>2000</v>
      </c>
    </row>
    <row r="357" spans="2:3">
      <c r="B357" s="311" t="s">
        <v>578</v>
      </c>
      <c r="C357" s="312">
        <v>1930</v>
      </c>
    </row>
    <row r="358" spans="2:3">
      <c r="B358" s="311" t="s">
        <v>1420</v>
      </c>
      <c r="C358" s="312">
        <v>1920</v>
      </c>
    </row>
    <row r="359" spans="2:3">
      <c r="B359" s="311" t="s">
        <v>1123</v>
      </c>
      <c r="C359" s="312">
        <v>1803</v>
      </c>
    </row>
    <row r="360" spans="2:3">
      <c r="B360" s="311" t="s">
        <v>207</v>
      </c>
      <c r="C360" s="312">
        <v>1800</v>
      </c>
    </row>
    <row r="361" spans="2:3">
      <c r="B361" s="311" t="s">
        <v>1515</v>
      </c>
      <c r="C361" s="312">
        <v>1780</v>
      </c>
    </row>
    <row r="362" spans="2:3">
      <c r="B362" s="311" t="s">
        <v>1104</v>
      </c>
      <c r="C362" s="312">
        <v>1712</v>
      </c>
    </row>
    <row r="363" spans="2:3">
      <c r="B363" s="311" t="s">
        <v>586</v>
      </c>
      <c r="C363" s="312">
        <v>1698</v>
      </c>
    </row>
    <row r="364" spans="2:3">
      <c r="B364" s="311" t="s">
        <v>444</v>
      </c>
      <c r="C364" s="312">
        <v>1644</v>
      </c>
    </row>
    <row r="365" spans="2:3">
      <c r="B365" s="311" t="s">
        <v>1376</v>
      </c>
      <c r="C365" s="312">
        <v>1600</v>
      </c>
    </row>
    <row r="366" spans="2:3">
      <c r="B366" s="311" t="s">
        <v>414</v>
      </c>
      <c r="C366" s="312">
        <v>1400</v>
      </c>
    </row>
    <row r="367" spans="2:3">
      <c r="B367" s="311" t="s">
        <v>466</v>
      </c>
      <c r="C367" s="312">
        <v>1284</v>
      </c>
    </row>
    <row r="368" spans="2:3">
      <c r="B368" s="311" t="s">
        <v>475</v>
      </c>
      <c r="C368" s="312">
        <v>1200</v>
      </c>
    </row>
    <row r="369" spans="2:3">
      <c r="B369" s="311" t="s">
        <v>1535</v>
      </c>
      <c r="C369" s="312">
        <v>1155.5999999999999</v>
      </c>
    </row>
    <row r="370" spans="2:3">
      <c r="B370" s="311" t="s">
        <v>1262</v>
      </c>
      <c r="C370" s="312">
        <v>1150</v>
      </c>
    </row>
    <row r="371" spans="2:3">
      <c r="B371" s="311" t="s">
        <v>390</v>
      </c>
      <c r="C371" s="312">
        <v>1104</v>
      </c>
    </row>
    <row r="372" spans="2:3">
      <c r="B372" s="311" t="s">
        <v>986</v>
      </c>
      <c r="C372" s="312">
        <v>1072</v>
      </c>
    </row>
    <row r="373" spans="2:3">
      <c r="B373" s="311" t="s">
        <v>1303</v>
      </c>
      <c r="C373" s="312">
        <v>1000</v>
      </c>
    </row>
    <row r="374" spans="2:3">
      <c r="B374" s="311" t="s">
        <v>1581</v>
      </c>
      <c r="C374" s="312">
        <v>1000</v>
      </c>
    </row>
    <row r="375" spans="2:3">
      <c r="B375" s="311" t="s">
        <v>705</v>
      </c>
      <c r="C375" s="312">
        <v>973</v>
      </c>
    </row>
    <row r="376" spans="2:3">
      <c r="B376" s="311" t="s">
        <v>219</v>
      </c>
      <c r="C376" s="312">
        <v>960</v>
      </c>
    </row>
    <row r="377" spans="2:3">
      <c r="B377" s="311" t="s">
        <v>858</v>
      </c>
      <c r="C377" s="312">
        <v>860</v>
      </c>
    </row>
    <row r="378" spans="2:3">
      <c r="B378" s="311" t="s">
        <v>842</v>
      </c>
      <c r="C378" s="312">
        <v>856</v>
      </c>
    </row>
    <row r="379" spans="2:3">
      <c r="B379" s="311" t="s">
        <v>786</v>
      </c>
      <c r="C379" s="312">
        <v>840</v>
      </c>
    </row>
    <row r="380" spans="2:3">
      <c r="B380" s="311" t="s">
        <v>1631</v>
      </c>
      <c r="C380" s="312">
        <v>840</v>
      </c>
    </row>
    <row r="381" spans="2:3">
      <c r="B381" s="311" t="s">
        <v>851</v>
      </c>
      <c r="C381" s="312">
        <v>837</v>
      </c>
    </row>
    <row r="382" spans="2:3">
      <c r="B382" s="311" t="s">
        <v>517</v>
      </c>
      <c r="C382" s="312">
        <v>702</v>
      </c>
    </row>
    <row r="383" spans="2:3">
      <c r="B383" s="311" t="s">
        <v>732</v>
      </c>
      <c r="C383" s="312">
        <v>650</v>
      </c>
    </row>
    <row r="384" spans="2:3">
      <c r="B384" s="311" t="s">
        <v>1201</v>
      </c>
      <c r="C384" s="312">
        <v>650</v>
      </c>
    </row>
    <row r="385" spans="2:3">
      <c r="B385" s="311" t="s">
        <v>1051</v>
      </c>
      <c r="C385" s="312">
        <v>642</v>
      </c>
    </row>
    <row r="386" spans="2:3">
      <c r="B386" s="311" t="s">
        <v>1277</v>
      </c>
      <c r="C386" s="312">
        <v>630</v>
      </c>
    </row>
    <row r="387" spans="2:3">
      <c r="B387" s="311" t="s">
        <v>1526</v>
      </c>
      <c r="C387" s="312">
        <v>600</v>
      </c>
    </row>
    <row r="388" spans="2:3">
      <c r="B388" s="311" t="s">
        <v>906</v>
      </c>
      <c r="C388" s="312">
        <v>510</v>
      </c>
    </row>
    <row r="389" spans="2:3">
      <c r="B389" s="311" t="s">
        <v>386</v>
      </c>
      <c r="C389" s="312">
        <v>350</v>
      </c>
    </row>
    <row r="390" spans="2:3">
      <c r="B390" s="311" t="s">
        <v>236</v>
      </c>
      <c r="C390" s="312">
        <v>325.5</v>
      </c>
    </row>
    <row r="391" spans="2:3">
      <c r="B391" s="311" t="s">
        <v>757</v>
      </c>
      <c r="C391" s="312">
        <v>321</v>
      </c>
    </row>
    <row r="392" spans="2:3">
      <c r="B392" s="311" t="s">
        <v>936</v>
      </c>
      <c r="C392" s="312">
        <v>300</v>
      </c>
    </row>
    <row r="393" spans="2:3">
      <c r="B393" s="311" t="s">
        <v>608</v>
      </c>
      <c r="C393" s="312">
        <v>200</v>
      </c>
    </row>
    <row r="394" spans="2:3">
      <c r="B394" s="311" t="s">
        <v>878</v>
      </c>
      <c r="C394" s="312">
        <v>200</v>
      </c>
    </row>
    <row r="395" spans="2:3">
      <c r="B395" s="311" t="s">
        <v>1416</v>
      </c>
      <c r="C395" s="312">
        <v>100.58</v>
      </c>
    </row>
    <row r="396" spans="2:3">
      <c r="B396" s="311" t="s">
        <v>82</v>
      </c>
      <c r="C396" s="312">
        <v>0</v>
      </c>
    </row>
    <row r="397" spans="2:3">
      <c r="B397" s="311" t="s">
        <v>257</v>
      </c>
      <c r="C397" s="312">
        <v>0</v>
      </c>
    </row>
    <row r="398" spans="2:3">
      <c r="B398" s="311" t="s">
        <v>297</v>
      </c>
      <c r="C398" s="312">
        <v>0</v>
      </c>
    </row>
    <row r="399" spans="2:3">
      <c r="B399" s="311" t="s">
        <v>437</v>
      </c>
      <c r="C399" s="312">
        <v>0</v>
      </c>
    </row>
    <row r="400" spans="2:3">
      <c r="B400" s="311" t="s">
        <v>448</v>
      </c>
      <c r="C400" s="312">
        <v>0</v>
      </c>
    </row>
    <row r="401" spans="2:3">
      <c r="B401" s="311" t="s">
        <v>452</v>
      </c>
      <c r="C401" s="312">
        <v>0</v>
      </c>
    </row>
    <row r="402" spans="2:3">
      <c r="B402" s="311" t="s">
        <v>459</v>
      </c>
      <c r="C402" s="312">
        <v>0</v>
      </c>
    </row>
    <row r="403" spans="2:3">
      <c r="B403" s="311" t="s">
        <v>549</v>
      </c>
      <c r="C403" s="312">
        <v>0</v>
      </c>
    </row>
    <row r="404" spans="2:3">
      <c r="B404" s="311" t="s">
        <v>570</v>
      </c>
      <c r="C404" s="312">
        <v>0</v>
      </c>
    </row>
    <row r="405" spans="2:3">
      <c r="B405" s="311" t="s">
        <v>590</v>
      </c>
      <c r="C405" s="312">
        <v>0</v>
      </c>
    </row>
    <row r="406" spans="2:3">
      <c r="B406" s="311" t="s">
        <v>651</v>
      </c>
      <c r="C406" s="312">
        <v>0</v>
      </c>
    </row>
    <row r="407" spans="2:3">
      <c r="B407" s="311" t="s">
        <v>797</v>
      </c>
      <c r="C407" s="312">
        <v>0</v>
      </c>
    </row>
    <row r="408" spans="2:3">
      <c r="B408" s="311" t="s">
        <v>801</v>
      </c>
      <c r="C408" s="312">
        <v>0</v>
      </c>
    </row>
    <row r="409" spans="2:3">
      <c r="B409" s="311" t="s">
        <v>834</v>
      </c>
      <c r="C409" s="312">
        <v>0</v>
      </c>
    </row>
    <row r="410" spans="2:3">
      <c r="B410" s="311" t="s">
        <v>939</v>
      </c>
      <c r="C410" s="312">
        <v>0</v>
      </c>
    </row>
    <row r="411" spans="2:3">
      <c r="B411" s="311" t="s">
        <v>959</v>
      </c>
      <c r="C411" s="312">
        <v>0</v>
      </c>
    </row>
    <row r="412" spans="2:3">
      <c r="B412" s="311" t="s">
        <v>1080</v>
      </c>
      <c r="C412" s="312">
        <v>0</v>
      </c>
    </row>
    <row r="413" spans="2:3">
      <c r="B413" s="311" t="s">
        <v>1143</v>
      </c>
      <c r="C413" s="312">
        <v>0</v>
      </c>
    </row>
    <row r="414" spans="2:3">
      <c r="B414" s="311" t="s">
        <v>1158</v>
      </c>
      <c r="C414" s="312">
        <v>0</v>
      </c>
    </row>
    <row r="415" spans="2:3">
      <c r="B415" s="311" t="s">
        <v>1164</v>
      </c>
      <c r="C415" s="312">
        <v>0</v>
      </c>
    </row>
    <row r="416" spans="2:3">
      <c r="B416" s="311" t="s">
        <v>1392</v>
      </c>
      <c r="C416" s="312">
        <v>0</v>
      </c>
    </row>
    <row r="417" spans="2:3">
      <c r="B417" s="311" t="s">
        <v>1396</v>
      </c>
      <c r="C417" s="312">
        <v>0</v>
      </c>
    </row>
    <row r="418" spans="2:3">
      <c r="B418" s="311" t="s">
        <v>1424</v>
      </c>
      <c r="C418" s="312">
        <v>0</v>
      </c>
    </row>
    <row r="419" spans="2:3">
      <c r="B419" s="311" t="s">
        <v>1428</v>
      </c>
      <c r="C419" s="312">
        <v>0</v>
      </c>
    </row>
    <row r="420" spans="2:3">
      <c r="B420" s="311" t="s">
        <v>1449</v>
      </c>
      <c r="C420" s="312">
        <v>0</v>
      </c>
    </row>
    <row r="421" spans="2:3">
      <c r="B421" s="311" t="s">
        <v>1523</v>
      </c>
      <c r="C421" s="312">
        <v>0</v>
      </c>
    </row>
    <row r="422" spans="2:3">
      <c r="B422" s="311" t="s">
        <v>1588</v>
      </c>
      <c r="C422" s="312">
        <v>0</v>
      </c>
    </row>
    <row r="423" spans="2:3">
      <c r="B423" s="311" t="s">
        <v>1674</v>
      </c>
      <c r="C423" s="312">
        <v>0</v>
      </c>
    </row>
    <row r="424" spans="2:3">
      <c r="B424" s="311" t="s">
        <v>1704</v>
      </c>
      <c r="C424" s="312">
        <v>0</v>
      </c>
    </row>
  </sheetData>
  <sortState xmlns:xlrd2="http://schemas.microsoft.com/office/spreadsheetml/2017/richdata2" ref="A3:O424">
    <sortCondition descending="1" ref="C3:C424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D5B22-36B0-431F-AE01-518BAB263658}">
  <dimension ref="A1:AG1000"/>
  <sheetViews>
    <sheetView zoomScale="84" zoomScaleNormal="84" workbookViewId="0">
      <selection activeCell="I21" sqref="I21"/>
    </sheetView>
  </sheetViews>
  <sheetFormatPr defaultColWidth="12.625" defaultRowHeight="19.5"/>
  <cols>
    <col min="1" max="1" width="6.5" style="372" customWidth="1"/>
    <col min="2" max="2" width="24" style="372" customWidth="1"/>
    <col min="3" max="3" width="21" style="372" customWidth="1"/>
    <col min="4" max="4" width="19.625" style="372" customWidth="1"/>
    <col min="5" max="6" width="21" style="372" customWidth="1"/>
    <col min="7" max="7" width="5.125" style="372" customWidth="1"/>
    <col min="8" max="8" width="19.125" style="422" customWidth="1"/>
    <col min="9" max="9" width="20.5" style="423" customWidth="1"/>
    <col min="10" max="10" width="25.625" style="423" customWidth="1"/>
    <col min="11" max="11" width="12.75" style="422" customWidth="1"/>
    <col min="12" max="26" width="7.625" style="372" customWidth="1"/>
    <col min="27" max="16384" width="12.625" style="372"/>
  </cols>
  <sheetData>
    <row r="1" spans="1:33" ht="26.25" customHeight="1">
      <c r="A1" s="368" t="s">
        <v>1774</v>
      </c>
      <c r="B1" s="369"/>
      <c r="C1" s="369"/>
      <c r="D1" s="369"/>
      <c r="E1" s="369"/>
      <c r="F1" s="369"/>
      <c r="G1" s="369"/>
      <c r="H1" s="370"/>
      <c r="I1" s="371"/>
      <c r="J1" s="371"/>
      <c r="K1" s="370"/>
      <c r="L1" s="369"/>
      <c r="M1" s="369"/>
      <c r="N1" s="369"/>
      <c r="O1" s="369"/>
      <c r="P1" s="369"/>
      <c r="Q1" s="369"/>
      <c r="R1" s="369"/>
      <c r="S1" s="369"/>
      <c r="T1" s="369"/>
      <c r="U1" s="369"/>
      <c r="V1" s="369"/>
      <c r="W1" s="369"/>
      <c r="X1" s="369"/>
      <c r="Y1" s="369"/>
      <c r="Z1" s="369"/>
    </row>
    <row r="2" spans="1:33" ht="25.5" customHeight="1">
      <c r="A2" s="373" t="s">
        <v>1775</v>
      </c>
      <c r="B2" s="374" t="s">
        <v>1776</v>
      </c>
      <c r="C2" s="374" t="s">
        <v>1777</v>
      </c>
      <c r="D2" s="374" t="s">
        <v>1778</v>
      </c>
      <c r="E2" s="374" t="s">
        <v>1779</v>
      </c>
      <c r="F2" s="374" t="s">
        <v>1780</v>
      </c>
      <c r="G2" s="373" t="s">
        <v>1781</v>
      </c>
      <c r="H2" s="369"/>
      <c r="I2" s="369"/>
      <c r="J2" s="375"/>
      <c r="K2" s="369"/>
      <c r="L2" s="369"/>
      <c r="M2" s="369"/>
      <c r="N2" s="369"/>
      <c r="O2" s="370"/>
      <c r="P2" s="371"/>
      <c r="Q2" s="370"/>
      <c r="R2" s="370"/>
      <c r="S2" s="369"/>
      <c r="T2" s="369"/>
      <c r="U2" s="369"/>
      <c r="V2" s="369"/>
      <c r="W2" s="369"/>
      <c r="X2" s="369"/>
      <c r="Y2" s="369"/>
      <c r="Z2" s="369"/>
      <c r="AA2" s="369"/>
      <c r="AB2" s="369"/>
      <c r="AC2" s="369"/>
      <c r="AD2" s="369"/>
      <c r="AE2" s="369"/>
      <c r="AF2" s="369"/>
      <c r="AG2" s="369"/>
    </row>
    <row r="3" spans="1:33" ht="18" customHeight="1">
      <c r="A3" s="376"/>
      <c r="B3" s="377">
        <v>1</v>
      </c>
      <c r="C3" s="377">
        <v>2</v>
      </c>
      <c r="D3" s="377">
        <v>3</v>
      </c>
      <c r="E3" s="377">
        <v>4</v>
      </c>
      <c r="F3" s="378">
        <v>5</v>
      </c>
      <c r="G3" s="379">
        <v>6</v>
      </c>
      <c r="H3" s="370" t="s">
        <v>1782</v>
      </c>
      <c r="I3" s="371" t="s">
        <v>1783</v>
      </c>
      <c r="J3" s="371" t="s">
        <v>1784</v>
      </c>
      <c r="K3" s="370" t="s">
        <v>1785</v>
      </c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69"/>
      <c r="Z3" s="369"/>
    </row>
    <row r="4" spans="1:33" ht="18" customHeight="1">
      <c r="A4" s="380"/>
      <c r="B4" s="381"/>
      <c r="C4" s="382"/>
      <c r="D4" s="383"/>
      <c r="E4" s="384"/>
      <c r="F4" s="385"/>
      <c r="G4" s="386"/>
      <c r="H4" s="370" t="s">
        <v>1786</v>
      </c>
      <c r="I4" s="371">
        <v>244502</v>
      </c>
      <c r="J4" s="371">
        <v>244568</v>
      </c>
      <c r="K4" s="370">
        <v>60</v>
      </c>
      <c r="L4" s="369"/>
      <c r="M4" s="369"/>
      <c r="N4" s="369"/>
      <c r="O4" s="369"/>
      <c r="P4" s="369"/>
      <c r="Q4" s="369"/>
      <c r="R4" s="369"/>
      <c r="S4" s="369"/>
      <c r="T4" s="369"/>
      <c r="U4" s="369"/>
      <c r="V4" s="369"/>
      <c r="W4" s="369"/>
      <c r="X4" s="369"/>
      <c r="Y4" s="369"/>
      <c r="Z4" s="369"/>
    </row>
    <row r="5" spans="1:33" ht="18" customHeight="1">
      <c r="A5" s="387"/>
      <c r="B5" s="388"/>
      <c r="C5" s="389" t="s">
        <v>1787</v>
      </c>
      <c r="D5" s="390" t="s">
        <v>1788</v>
      </c>
      <c r="E5" s="391" t="s">
        <v>1787</v>
      </c>
      <c r="F5" s="392" t="s">
        <v>1787</v>
      </c>
      <c r="G5" s="393"/>
      <c r="H5" s="370" t="s">
        <v>1789</v>
      </c>
      <c r="I5" s="371">
        <v>244505</v>
      </c>
      <c r="J5" s="371">
        <v>244571</v>
      </c>
      <c r="K5" s="370">
        <v>65</v>
      </c>
      <c r="L5" s="369"/>
      <c r="M5" s="369"/>
      <c r="N5" s="369"/>
      <c r="O5" s="369"/>
      <c r="P5" s="369"/>
      <c r="Q5" s="369"/>
      <c r="R5" s="369"/>
      <c r="S5" s="369"/>
      <c r="T5" s="369"/>
      <c r="U5" s="369"/>
      <c r="V5" s="369"/>
      <c r="W5" s="369"/>
      <c r="X5" s="369"/>
      <c r="Y5" s="369"/>
      <c r="Z5" s="369"/>
    </row>
    <row r="6" spans="1:33" ht="18" customHeight="1">
      <c r="A6" s="387"/>
      <c r="B6" s="394" t="s">
        <v>1790</v>
      </c>
      <c r="C6" s="395" t="s">
        <v>1786</v>
      </c>
      <c r="D6" s="394" t="s">
        <v>1791</v>
      </c>
      <c r="E6" s="396" t="s">
        <v>1792</v>
      </c>
      <c r="F6" s="397" t="s">
        <v>1789</v>
      </c>
      <c r="G6" s="393"/>
      <c r="H6" s="370" t="s">
        <v>1792</v>
      </c>
      <c r="I6" s="371">
        <v>244504</v>
      </c>
      <c r="J6" s="371">
        <v>244572</v>
      </c>
      <c r="K6" s="370">
        <v>70</v>
      </c>
      <c r="L6" s="369"/>
      <c r="M6" s="369"/>
      <c r="N6" s="369"/>
      <c r="O6" s="369"/>
      <c r="P6" s="369"/>
      <c r="Q6" s="369"/>
      <c r="R6" s="369"/>
      <c r="S6" s="369"/>
      <c r="T6" s="369"/>
      <c r="U6" s="369"/>
      <c r="V6" s="369"/>
      <c r="W6" s="369"/>
      <c r="X6" s="369"/>
      <c r="Y6" s="369"/>
      <c r="Z6" s="369"/>
    </row>
    <row r="7" spans="1:33" ht="18" customHeight="1">
      <c r="A7" s="398"/>
      <c r="B7" s="399"/>
      <c r="C7" s="400" t="s">
        <v>1793</v>
      </c>
      <c r="D7" s="399"/>
      <c r="E7" s="400" t="s">
        <v>1794</v>
      </c>
      <c r="F7" s="400" t="s">
        <v>1795</v>
      </c>
      <c r="G7" s="401"/>
      <c r="H7" s="370" t="s">
        <v>1796</v>
      </c>
      <c r="I7" s="371">
        <v>244508</v>
      </c>
      <c r="J7" s="371">
        <v>244567</v>
      </c>
      <c r="K7" s="370">
        <v>60</v>
      </c>
      <c r="L7" s="369"/>
      <c r="M7" s="369"/>
      <c r="N7" s="369"/>
      <c r="O7" s="369"/>
      <c r="P7" s="369"/>
      <c r="Q7" s="369"/>
      <c r="R7" s="369"/>
      <c r="S7" s="369"/>
      <c r="T7" s="369"/>
      <c r="U7" s="369"/>
      <c r="V7" s="369"/>
      <c r="W7" s="369"/>
      <c r="X7" s="369"/>
      <c r="Y7" s="369"/>
      <c r="Z7" s="369"/>
    </row>
    <row r="8" spans="1:33" ht="18" customHeight="1">
      <c r="A8" s="387">
        <v>7</v>
      </c>
      <c r="B8" s="383">
        <v>8</v>
      </c>
      <c r="C8" s="383">
        <v>9</v>
      </c>
      <c r="D8" s="377">
        <v>10</v>
      </c>
      <c r="E8" s="383">
        <v>11</v>
      </c>
      <c r="F8" s="402">
        <v>12</v>
      </c>
      <c r="G8" s="393">
        <v>13</v>
      </c>
      <c r="H8" s="370" t="s">
        <v>1797</v>
      </c>
      <c r="I8" s="371">
        <v>244511</v>
      </c>
      <c r="J8" s="371">
        <v>244578</v>
      </c>
      <c r="K8" s="370">
        <v>70</v>
      </c>
      <c r="L8" s="369"/>
      <c r="M8" s="369"/>
      <c r="N8" s="369"/>
      <c r="O8" s="369"/>
      <c r="P8" s="369"/>
      <c r="Q8" s="369"/>
      <c r="R8" s="369"/>
      <c r="S8" s="369"/>
      <c r="T8" s="369"/>
      <c r="U8" s="369"/>
      <c r="V8" s="369"/>
      <c r="W8" s="369"/>
      <c r="X8" s="369"/>
      <c r="Y8" s="369"/>
      <c r="Z8" s="369"/>
    </row>
    <row r="9" spans="1:33" ht="18" customHeight="1">
      <c r="A9" s="387"/>
      <c r="B9" s="403"/>
      <c r="C9" s="383"/>
      <c r="D9" s="383"/>
      <c r="E9" s="404"/>
      <c r="F9" s="383"/>
      <c r="G9" s="393"/>
      <c r="H9" s="370" t="s">
        <v>1798</v>
      </c>
      <c r="I9" s="371">
        <v>244515</v>
      </c>
      <c r="J9" s="371">
        <v>244574</v>
      </c>
      <c r="K9" s="370">
        <v>60</v>
      </c>
      <c r="L9" s="369"/>
      <c r="M9" s="369"/>
      <c r="N9" s="369"/>
      <c r="O9" s="369"/>
      <c r="P9" s="369"/>
      <c r="Q9" s="369"/>
      <c r="R9" s="369"/>
      <c r="S9" s="369"/>
      <c r="T9" s="369"/>
      <c r="U9" s="369"/>
      <c r="V9" s="369"/>
      <c r="W9" s="369"/>
      <c r="X9" s="369"/>
      <c r="Y9" s="369"/>
      <c r="Z9" s="369"/>
    </row>
    <row r="10" spans="1:33" ht="18" customHeight="1">
      <c r="A10" s="387"/>
      <c r="B10" s="405" t="s">
        <v>1787</v>
      </c>
      <c r="C10" s="383"/>
      <c r="D10" s="383"/>
      <c r="E10" s="406" t="s">
        <v>1787</v>
      </c>
      <c r="F10" s="383"/>
      <c r="G10" s="393"/>
      <c r="H10" s="370" t="s">
        <v>1799</v>
      </c>
      <c r="I10" s="371">
        <v>244517</v>
      </c>
      <c r="J10" s="371">
        <v>244585</v>
      </c>
      <c r="K10" s="370">
        <v>70</v>
      </c>
      <c r="L10" s="369"/>
      <c r="M10" s="369"/>
      <c r="N10" s="369"/>
      <c r="O10" s="369"/>
      <c r="P10" s="369"/>
      <c r="Q10" s="369"/>
      <c r="R10" s="369"/>
      <c r="S10" s="369"/>
      <c r="T10" s="369"/>
      <c r="U10" s="369"/>
      <c r="V10" s="369"/>
      <c r="W10" s="369"/>
      <c r="X10" s="369"/>
      <c r="Y10" s="369"/>
      <c r="Z10" s="369"/>
    </row>
    <row r="11" spans="1:33" ht="18" customHeight="1">
      <c r="A11" s="387"/>
      <c r="B11" s="407" t="s">
        <v>1796</v>
      </c>
      <c r="C11" s="408"/>
      <c r="D11" s="408"/>
      <c r="E11" s="409" t="s">
        <v>1797</v>
      </c>
      <c r="F11" s="408"/>
      <c r="G11" s="393"/>
      <c r="H11" s="370" t="s">
        <v>1800</v>
      </c>
      <c r="I11" s="371">
        <v>244518</v>
      </c>
      <c r="J11" s="371">
        <v>244588</v>
      </c>
      <c r="K11" s="370">
        <f t="shared" ref="K11:K14" si="0">J11-I11</f>
        <v>70</v>
      </c>
      <c r="L11" s="369"/>
      <c r="M11" s="369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69"/>
      <c r="Y11" s="369"/>
      <c r="Z11" s="369"/>
    </row>
    <row r="12" spans="1:33" ht="18" customHeight="1">
      <c r="A12" s="398"/>
      <c r="B12" s="400" t="s">
        <v>1801</v>
      </c>
      <c r="C12" s="400" t="s">
        <v>1802</v>
      </c>
      <c r="D12" s="399"/>
      <c r="E12" s="400" t="s">
        <v>1803</v>
      </c>
      <c r="F12" s="400" t="s">
        <v>1804</v>
      </c>
      <c r="G12" s="401"/>
      <c r="H12" s="370" t="s">
        <v>1805</v>
      </c>
      <c r="I12" s="371">
        <v>244523</v>
      </c>
      <c r="J12" s="371">
        <v>244589</v>
      </c>
      <c r="K12" s="370">
        <v>65</v>
      </c>
      <c r="L12" s="369"/>
      <c r="M12" s="369"/>
      <c r="N12" s="369"/>
      <c r="O12" s="369"/>
      <c r="P12" s="369"/>
      <c r="Q12" s="369"/>
      <c r="R12" s="369"/>
      <c r="S12" s="369"/>
      <c r="T12" s="369"/>
      <c r="U12" s="369"/>
      <c r="V12" s="369"/>
      <c r="W12" s="369"/>
      <c r="X12" s="369"/>
      <c r="Y12" s="369"/>
      <c r="Z12" s="369"/>
    </row>
    <row r="13" spans="1:33" ht="18" customHeight="1">
      <c r="A13" s="410">
        <v>14</v>
      </c>
      <c r="B13" s="377">
        <v>15</v>
      </c>
      <c r="C13" s="411">
        <v>16</v>
      </c>
      <c r="D13" s="377">
        <v>17</v>
      </c>
      <c r="E13" s="388">
        <v>18</v>
      </c>
      <c r="F13" s="383">
        <v>19</v>
      </c>
      <c r="G13" s="412">
        <v>20</v>
      </c>
      <c r="H13" s="370" t="s">
        <v>1806</v>
      </c>
      <c r="I13" s="371">
        <v>244525</v>
      </c>
      <c r="J13" s="371">
        <v>244586</v>
      </c>
      <c r="K13" s="370">
        <v>60</v>
      </c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</row>
    <row r="14" spans="1:33" ht="18" customHeight="1">
      <c r="A14" s="387"/>
      <c r="B14" s="413"/>
      <c r="C14" s="383"/>
      <c r="D14" s="414"/>
      <c r="E14" s="415"/>
      <c r="F14" s="383"/>
      <c r="G14" s="393"/>
      <c r="H14" s="370" t="s">
        <v>1807</v>
      </c>
      <c r="I14" s="371">
        <v>244529</v>
      </c>
      <c r="J14" s="371">
        <v>244594</v>
      </c>
      <c r="K14" s="370">
        <f t="shared" si="0"/>
        <v>65</v>
      </c>
      <c r="L14" s="369"/>
      <c r="M14" s="369"/>
      <c r="N14" s="369"/>
      <c r="O14" s="369"/>
      <c r="P14" s="369"/>
      <c r="Q14" s="369"/>
      <c r="R14" s="369"/>
      <c r="S14" s="369"/>
      <c r="T14" s="369"/>
      <c r="U14" s="369"/>
      <c r="V14" s="369"/>
      <c r="W14" s="369"/>
      <c r="X14" s="369"/>
      <c r="Y14" s="369"/>
      <c r="Z14" s="369"/>
    </row>
    <row r="15" spans="1:33" ht="18" customHeight="1">
      <c r="A15" s="387"/>
      <c r="B15" s="389" t="s">
        <v>1787</v>
      </c>
      <c r="C15" s="383"/>
      <c r="D15" s="405" t="s">
        <v>1787</v>
      </c>
      <c r="E15" s="406" t="s">
        <v>1787</v>
      </c>
      <c r="F15" s="383"/>
      <c r="G15" s="393"/>
      <c r="H15" s="370" t="s">
        <v>1786</v>
      </c>
      <c r="I15" s="371">
        <v>244530</v>
      </c>
      <c r="J15" s="371">
        <v>244596</v>
      </c>
      <c r="K15" s="370">
        <v>65</v>
      </c>
      <c r="L15" s="369"/>
      <c r="M15" s="369"/>
      <c r="N15" s="369"/>
      <c r="O15" s="369"/>
      <c r="P15" s="369"/>
      <c r="Q15" s="369"/>
      <c r="R15" s="369"/>
      <c r="S15" s="369"/>
      <c r="T15" s="369"/>
      <c r="U15" s="369"/>
      <c r="V15" s="369"/>
      <c r="W15" s="369"/>
      <c r="X15" s="369"/>
      <c r="Y15" s="369"/>
      <c r="Z15" s="369"/>
    </row>
    <row r="16" spans="1:33" ht="18" customHeight="1">
      <c r="A16" s="387"/>
      <c r="B16" s="416" t="s">
        <v>1798</v>
      </c>
      <c r="C16" s="408"/>
      <c r="D16" s="417" t="s">
        <v>1799</v>
      </c>
      <c r="E16" s="409" t="s">
        <v>1800</v>
      </c>
      <c r="F16" s="388"/>
      <c r="G16" s="393"/>
      <c r="H16" s="370"/>
      <c r="I16" s="371"/>
      <c r="J16" s="371"/>
      <c r="K16" s="370"/>
      <c r="L16" s="369"/>
      <c r="M16" s="369"/>
      <c r="N16" s="369"/>
      <c r="O16" s="369"/>
      <c r="P16" s="369"/>
      <c r="Q16" s="369"/>
      <c r="R16" s="369"/>
      <c r="S16" s="369"/>
      <c r="T16" s="369"/>
      <c r="U16" s="369"/>
      <c r="V16" s="369"/>
      <c r="W16" s="369"/>
      <c r="X16" s="369"/>
      <c r="Y16" s="369"/>
      <c r="Z16" s="369"/>
    </row>
    <row r="17" spans="1:26" ht="18" customHeight="1">
      <c r="A17" s="398"/>
      <c r="B17" s="400" t="s">
        <v>1808</v>
      </c>
      <c r="C17" s="400" t="s">
        <v>1809</v>
      </c>
      <c r="D17" s="400" t="s">
        <v>1795</v>
      </c>
      <c r="E17" s="400" t="s">
        <v>1810</v>
      </c>
      <c r="F17" s="400" t="s">
        <v>1811</v>
      </c>
      <c r="G17" s="401"/>
      <c r="H17" s="370"/>
      <c r="I17" s="371"/>
      <c r="J17" s="371"/>
      <c r="K17" s="370"/>
      <c r="L17" s="369"/>
      <c r="M17" s="369"/>
      <c r="N17" s="369"/>
      <c r="O17" s="369"/>
      <c r="P17" s="369"/>
      <c r="Q17" s="369"/>
      <c r="R17" s="369"/>
      <c r="S17" s="369"/>
      <c r="T17" s="369"/>
      <c r="U17" s="369"/>
      <c r="V17" s="369"/>
      <c r="W17" s="369"/>
      <c r="X17" s="369"/>
      <c r="Y17" s="369"/>
      <c r="Z17" s="369"/>
    </row>
    <row r="18" spans="1:26" ht="18" customHeight="1">
      <c r="A18" s="410">
        <v>21</v>
      </c>
      <c r="B18" s="377">
        <v>22</v>
      </c>
      <c r="C18" s="383">
        <v>23</v>
      </c>
      <c r="D18" s="377">
        <v>24</v>
      </c>
      <c r="E18" s="383">
        <v>25</v>
      </c>
      <c r="F18" s="383">
        <v>26</v>
      </c>
      <c r="G18" s="412">
        <v>27</v>
      </c>
      <c r="H18" s="370"/>
      <c r="I18" s="371"/>
      <c r="J18" s="371"/>
      <c r="K18" s="370"/>
      <c r="L18" s="369"/>
      <c r="M18" s="369"/>
      <c r="N18" s="369"/>
      <c r="O18" s="369"/>
      <c r="P18" s="369"/>
      <c r="Q18" s="369"/>
      <c r="R18" s="369"/>
      <c r="S18" s="369"/>
      <c r="T18" s="369"/>
      <c r="U18" s="369"/>
      <c r="V18" s="369"/>
      <c r="W18" s="369"/>
      <c r="X18" s="369"/>
      <c r="Y18" s="369"/>
      <c r="Z18" s="369"/>
    </row>
    <row r="19" spans="1:26" ht="18" customHeight="1">
      <c r="A19" s="387"/>
      <c r="B19" s="381"/>
      <c r="C19" s="414"/>
      <c r="D19" s="383"/>
      <c r="E19" s="415"/>
      <c r="F19" s="383"/>
      <c r="G19" s="393"/>
      <c r="H19" s="370"/>
      <c r="I19" s="371"/>
      <c r="J19" s="371"/>
      <c r="K19" s="370"/>
      <c r="L19" s="369"/>
      <c r="M19" s="369"/>
      <c r="N19" s="369"/>
      <c r="O19" s="369"/>
      <c r="P19" s="369"/>
      <c r="Q19" s="369"/>
      <c r="R19" s="369"/>
      <c r="S19" s="369"/>
      <c r="T19" s="369"/>
      <c r="U19" s="369"/>
      <c r="V19" s="369"/>
      <c r="W19" s="369"/>
      <c r="X19" s="369"/>
      <c r="Y19" s="369"/>
      <c r="Z19" s="369"/>
    </row>
    <row r="20" spans="1:26" ht="18" customHeight="1">
      <c r="A20" s="387"/>
      <c r="B20" s="388"/>
      <c r="C20" s="405" t="s">
        <v>1787</v>
      </c>
      <c r="D20" s="383"/>
      <c r="E20" s="415" t="s">
        <v>1787</v>
      </c>
      <c r="F20" s="383"/>
      <c r="G20" s="393"/>
      <c r="H20" s="370"/>
      <c r="I20" s="371"/>
      <c r="J20" s="371"/>
      <c r="K20" s="370"/>
      <c r="L20" s="369"/>
      <c r="M20" s="369"/>
      <c r="N20" s="369"/>
      <c r="O20" s="369"/>
      <c r="P20" s="369"/>
      <c r="Q20" s="369"/>
      <c r="R20" s="369"/>
      <c r="S20" s="369"/>
      <c r="T20" s="369"/>
      <c r="U20" s="369"/>
      <c r="V20" s="369"/>
      <c r="W20" s="369"/>
      <c r="X20" s="369"/>
      <c r="Y20" s="369"/>
      <c r="Z20" s="369"/>
    </row>
    <row r="21" spans="1:26" ht="18" customHeight="1">
      <c r="A21" s="387"/>
      <c r="B21" s="408"/>
      <c r="C21" s="418" t="s">
        <v>1805</v>
      </c>
      <c r="D21" s="408"/>
      <c r="E21" s="409" t="s">
        <v>1806</v>
      </c>
      <c r="F21" s="408"/>
      <c r="G21" s="393"/>
      <c r="H21" s="370"/>
      <c r="I21" s="371"/>
      <c r="J21" s="371"/>
      <c r="K21" s="370"/>
      <c r="L21" s="369"/>
      <c r="M21" s="369"/>
      <c r="N21" s="369"/>
      <c r="O21" s="369"/>
      <c r="P21" s="369"/>
      <c r="Q21" s="369"/>
      <c r="R21" s="369"/>
      <c r="S21" s="369"/>
      <c r="T21" s="369"/>
      <c r="U21" s="369"/>
      <c r="V21" s="369"/>
      <c r="W21" s="369"/>
      <c r="X21" s="369"/>
      <c r="Y21" s="369"/>
      <c r="Z21" s="369"/>
    </row>
    <row r="22" spans="1:26" ht="18" customHeight="1">
      <c r="A22" s="387"/>
      <c r="B22" s="400" t="s">
        <v>1812</v>
      </c>
      <c r="C22" s="400" t="s">
        <v>1813</v>
      </c>
      <c r="D22" s="400" t="s">
        <v>1814</v>
      </c>
      <c r="E22" s="400" t="s">
        <v>1815</v>
      </c>
      <c r="F22" s="400" t="s">
        <v>1816</v>
      </c>
      <c r="G22" s="393"/>
      <c r="H22" s="370"/>
      <c r="I22" s="371"/>
      <c r="J22" s="371"/>
      <c r="K22" s="370"/>
      <c r="L22" s="369"/>
      <c r="M22" s="369"/>
      <c r="N22" s="369"/>
      <c r="O22" s="369"/>
      <c r="P22" s="369"/>
      <c r="Q22" s="369"/>
      <c r="R22" s="369"/>
      <c r="S22" s="369"/>
      <c r="T22" s="369"/>
      <c r="U22" s="369"/>
      <c r="V22" s="369"/>
      <c r="W22" s="369"/>
      <c r="X22" s="369"/>
      <c r="Y22" s="369"/>
      <c r="Z22" s="369"/>
    </row>
    <row r="23" spans="1:26" ht="18" customHeight="1">
      <c r="A23" s="410">
        <v>28</v>
      </c>
      <c r="B23" s="377">
        <v>29</v>
      </c>
      <c r="C23" s="383">
        <v>30</v>
      </c>
      <c r="D23" s="377"/>
      <c r="E23" s="390"/>
      <c r="F23" s="377"/>
      <c r="G23" s="379"/>
      <c r="H23" s="370"/>
      <c r="I23" s="371"/>
      <c r="J23" s="371"/>
      <c r="K23" s="370"/>
      <c r="L23" s="369"/>
      <c r="M23" s="369"/>
      <c r="N23" s="369"/>
      <c r="O23" s="369"/>
      <c r="P23" s="369"/>
      <c r="Q23" s="369"/>
      <c r="R23" s="369"/>
      <c r="S23" s="369"/>
      <c r="T23" s="369"/>
      <c r="U23" s="369"/>
      <c r="V23" s="369"/>
      <c r="W23" s="369"/>
      <c r="X23" s="369"/>
      <c r="Y23" s="369"/>
      <c r="Z23" s="369"/>
    </row>
    <row r="24" spans="1:26" ht="18" customHeight="1">
      <c r="A24" s="387"/>
      <c r="B24" s="419"/>
      <c r="C24" s="382"/>
      <c r="D24" s="383"/>
      <c r="E24" s="383"/>
      <c r="F24" s="383"/>
      <c r="G24" s="393"/>
      <c r="H24" s="370"/>
      <c r="I24" s="371"/>
      <c r="J24" s="371"/>
      <c r="K24" s="370"/>
      <c r="L24" s="369"/>
      <c r="M24" s="369"/>
      <c r="N24" s="369"/>
      <c r="O24" s="369"/>
      <c r="P24" s="369"/>
      <c r="Q24" s="369"/>
      <c r="R24" s="369"/>
      <c r="S24" s="369"/>
      <c r="T24" s="369"/>
      <c r="U24" s="369"/>
      <c r="V24" s="369"/>
      <c r="W24" s="369"/>
      <c r="X24" s="369"/>
      <c r="Y24" s="369"/>
      <c r="Z24" s="369"/>
    </row>
    <row r="25" spans="1:26" ht="18" customHeight="1">
      <c r="A25" s="387"/>
      <c r="B25" s="391" t="s">
        <v>1787</v>
      </c>
      <c r="C25" s="389" t="s">
        <v>1787</v>
      </c>
      <c r="D25" s="383"/>
      <c r="E25" s="383"/>
      <c r="F25" s="383"/>
      <c r="G25" s="393"/>
      <c r="H25" s="370"/>
      <c r="I25" s="371"/>
      <c r="J25" s="371"/>
      <c r="K25" s="370"/>
      <c r="L25" s="369"/>
      <c r="M25" s="369"/>
      <c r="N25" s="369"/>
      <c r="O25" s="369"/>
      <c r="P25" s="369"/>
      <c r="Q25" s="369"/>
      <c r="R25" s="369"/>
      <c r="S25" s="369"/>
      <c r="T25" s="369"/>
      <c r="U25" s="369"/>
      <c r="V25" s="369"/>
      <c r="W25" s="369"/>
      <c r="X25" s="369"/>
      <c r="Y25" s="369"/>
      <c r="Z25" s="369"/>
    </row>
    <row r="26" spans="1:26" ht="18" customHeight="1">
      <c r="A26" s="387"/>
      <c r="B26" s="397" t="s">
        <v>1807</v>
      </c>
      <c r="C26" s="395" t="s">
        <v>1786</v>
      </c>
      <c r="D26" s="383"/>
      <c r="E26" s="383"/>
      <c r="F26" s="383"/>
      <c r="G26" s="393"/>
      <c r="H26" s="370"/>
      <c r="I26" s="371"/>
      <c r="J26" s="371"/>
      <c r="K26" s="370"/>
      <c r="L26" s="369"/>
      <c r="M26" s="369"/>
      <c r="N26" s="369"/>
      <c r="O26" s="369"/>
      <c r="P26" s="369"/>
      <c r="Q26" s="369"/>
      <c r="R26" s="369"/>
      <c r="S26" s="369"/>
      <c r="T26" s="369"/>
      <c r="U26" s="369"/>
      <c r="V26" s="369"/>
      <c r="W26" s="369"/>
      <c r="X26" s="369"/>
      <c r="Y26" s="369"/>
      <c r="Z26" s="369"/>
    </row>
    <row r="27" spans="1:26" ht="18" customHeight="1">
      <c r="A27" s="398"/>
      <c r="B27" s="400" t="s">
        <v>1817</v>
      </c>
      <c r="C27" s="400"/>
      <c r="D27" s="420"/>
      <c r="E27" s="420"/>
      <c r="F27" s="420"/>
      <c r="G27" s="401"/>
      <c r="H27" s="370"/>
      <c r="I27" s="371"/>
      <c r="J27" s="371"/>
      <c r="K27" s="370"/>
      <c r="L27" s="369"/>
      <c r="M27" s="369"/>
      <c r="N27" s="369"/>
      <c r="O27" s="369"/>
      <c r="P27" s="369"/>
      <c r="Q27" s="369"/>
      <c r="R27" s="369"/>
      <c r="S27" s="369"/>
      <c r="T27" s="369"/>
      <c r="U27" s="369"/>
      <c r="V27" s="369"/>
      <c r="W27" s="369"/>
      <c r="X27" s="369"/>
      <c r="Y27" s="369"/>
      <c r="Z27" s="369"/>
    </row>
    <row r="28" spans="1:26" ht="18" customHeight="1">
      <c r="A28" s="368"/>
      <c r="B28" s="368"/>
      <c r="C28" s="368"/>
      <c r="D28" s="368"/>
      <c r="E28" s="368"/>
      <c r="F28" s="368"/>
      <c r="G28" s="368"/>
      <c r="H28" s="370"/>
      <c r="I28" s="371"/>
      <c r="J28" s="371"/>
      <c r="K28" s="370"/>
      <c r="L28" s="369"/>
      <c r="M28" s="369"/>
      <c r="N28" s="369"/>
      <c r="O28" s="369"/>
      <c r="P28" s="369"/>
      <c r="Q28" s="369"/>
      <c r="R28" s="369"/>
      <c r="S28" s="369"/>
      <c r="T28" s="369"/>
      <c r="U28" s="369"/>
      <c r="V28" s="369"/>
      <c r="W28" s="369"/>
      <c r="X28" s="369"/>
      <c r="Y28" s="369"/>
      <c r="Z28" s="369"/>
    </row>
    <row r="29" spans="1:26" ht="18" customHeight="1">
      <c r="A29" s="421"/>
      <c r="B29" s="421"/>
      <c r="C29" s="421"/>
      <c r="D29" s="421"/>
      <c r="E29" s="421"/>
      <c r="F29" s="421"/>
      <c r="G29" s="369"/>
      <c r="H29" s="370"/>
      <c r="I29" s="371"/>
      <c r="J29" s="371"/>
      <c r="K29" s="370"/>
      <c r="L29" s="369"/>
      <c r="M29" s="369"/>
      <c r="N29" s="369"/>
      <c r="O29" s="369"/>
      <c r="P29" s="369"/>
      <c r="Q29" s="369"/>
      <c r="R29" s="369"/>
      <c r="S29" s="369"/>
      <c r="T29" s="369"/>
      <c r="U29" s="369"/>
      <c r="V29" s="369"/>
      <c r="W29" s="369"/>
      <c r="X29" s="369"/>
      <c r="Y29" s="369"/>
      <c r="Z29" s="369"/>
    </row>
    <row r="30" spans="1:26" ht="18" customHeight="1">
      <c r="A30" s="421"/>
      <c r="B30" s="421"/>
      <c r="C30" s="421"/>
      <c r="D30" s="421"/>
      <c r="E30" s="421"/>
      <c r="F30" s="421"/>
      <c r="G30" s="369"/>
      <c r="H30" s="370"/>
      <c r="I30" s="371"/>
      <c r="J30" s="371"/>
      <c r="K30" s="370"/>
      <c r="L30" s="369"/>
      <c r="M30" s="369"/>
      <c r="N30" s="369"/>
      <c r="O30" s="369"/>
      <c r="P30" s="369"/>
      <c r="Q30" s="369"/>
      <c r="R30" s="369"/>
      <c r="S30" s="369"/>
      <c r="T30" s="369"/>
      <c r="U30" s="369"/>
      <c r="V30" s="369"/>
      <c r="W30" s="369"/>
      <c r="X30" s="369"/>
      <c r="Y30" s="369"/>
      <c r="Z30" s="369"/>
    </row>
    <row r="31" spans="1:26" ht="18" customHeight="1">
      <c r="A31" s="421"/>
      <c r="B31" s="421"/>
      <c r="C31" s="421"/>
      <c r="D31" s="421"/>
      <c r="E31" s="421"/>
      <c r="F31" s="421"/>
      <c r="G31" s="369"/>
      <c r="H31" s="370"/>
      <c r="I31" s="371"/>
      <c r="J31" s="371"/>
      <c r="K31" s="370"/>
      <c r="L31" s="369"/>
      <c r="M31" s="369"/>
      <c r="N31" s="369"/>
      <c r="O31" s="369"/>
      <c r="P31" s="369"/>
      <c r="Q31" s="369"/>
      <c r="R31" s="369"/>
      <c r="S31" s="369"/>
      <c r="T31" s="369"/>
      <c r="U31" s="369"/>
      <c r="V31" s="369"/>
      <c r="W31" s="369"/>
      <c r="X31" s="369"/>
      <c r="Y31" s="369"/>
      <c r="Z31" s="369"/>
    </row>
    <row r="32" spans="1:26" ht="14.25" customHeight="1">
      <c r="A32" s="369"/>
      <c r="B32" s="369"/>
      <c r="C32" s="369"/>
      <c r="D32" s="369"/>
      <c r="E32" s="369"/>
      <c r="F32" s="369"/>
      <c r="G32" s="369"/>
      <c r="H32" s="370"/>
      <c r="I32" s="371"/>
      <c r="J32" s="371"/>
      <c r="K32" s="370"/>
      <c r="L32" s="369"/>
      <c r="M32" s="369"/>
      <c r="N32" s="369"/>
      <c r="O32" s="369"/>
      <c r="P32" s="369"/>
      <c r="Q32" s="369"/>
      <c r="R32" s="369"/>
      <c r="S32" s="369"/>
      <c r="T32" s="369"/>
      <c r="U32" s="369"/>
      <c r="V32" s="369"/>
      <c r="W32" s="369"/>
      <c r="X32" s="369"/>
      <c r="Y32" s="369"/>
      <c r="Z32" s="369"/>
    </row>
    <row r="33" spans="1:26" ht="14.25" customHeight="1">
      <c r="A33" s="369"/>
      <c r="B33" s="369"/>
      <c r="C33" s="369"/>
      <c r="D33" s="369"/>
      <c r="E33" s="369"/>
      <c r="F33" s="369"/>
      <c r="G33" s="369"/>
      <c r="H33" s="370"/>
      <c r="I33" s="371"/>
      <c r="J33" s="371"/>
      <c r="K33" s="370"/>
      <c r="L33" s="369"/>
      <c r="M33" s="369"/>
      <c r="N33" s="369"/>
      <c r="O33" s="369"/>
      <c r="P33" s="369"/>
      <c r="Q33" s="369"/>
      <c r="R33" s="369"/>
      <c r="S33" s="369"/>
      <c r="T33" s="369"/>
      <c r="U33" s="369"/>
      <c r="V33" s="369"/>
      <c r="W33" s="369"/>
      <c r="X33" s="369"/>
      <c r="Y33" s="369"/>
      <c r="Z33" s="369"/>
    </row>
    <row r="34" spans="1:26" ht="14.25" customHeight="1">
      <c r="A34" s="369"/>
      <c r="B34" s="369"/>
      <c r="C34" s="369"/>
      <c r="D34" s="369"/>
      <c r="E34" s="369"/>
      <c r="F34" s="369"/>
      <c r="G34" s="369"/>
      <c r="H34" s="370"/>
      <c r="I34" s="371"/>
      <c r="J34" s="371"/>
      <c r="K34" s="370"/>
      <c r="L34" s="369"/>
      <c r="M34" s="369"/>
      <c r="N34" s="369"/>
      <c r="O34" s="369"/>
      <c r="P34" s="369"/>
      <c r="Q34" s="369"/>
      <c r="R34" s="369"/>
      <c r="S34" s="369"/>
      <c r="T34" s="369"/>
      <c r="U34" s="369"/>
      <c r="V34" s="369"/>
      <c r="W34" s="369"/>
      <c r="X34" s="369"/>
      <c r="Y34" s="369"/>
      <c r="Z34" s="369"/>
    </row>
    <row r="35" spans="1:26" ht="14.25" customHeight="1">
      <c r="A35" s="369"/>
      <c r="B35" s="369"/>
      <c r="C35" s="369"/>
      <c r="D35" s="369"/>
      <c r="E35" s="369"/>
      <c r="F35" s="369"/>
      <c r="G35" s="369"/>
      <c r="H35" s="370"/>
      <c r="I35" s="371"/>
      <c r="J35" s="371"/>
      <c r="K35" s="370"/>
      <c r="L35" s="369"/>
      <c r="M35" s="369"/>
      <c r="N35" s="369"/>
      <c r="O35" s="369"/>
      <c r="P35" s="369"/>
      <c r="Q35" s="369"/>
      <c r="R35" s="369"/>
      <c r="S35" s="369"/>
      <c r="T35" s="369"/>
      <c r="U35" s="369"/>
      <c r="V35" s="369"/>
      <c r="W35" s="369"/>
      <c r="X35" s="369"/>
      <c r="Y35" s="369"/>
      <c r="Z35" s="369"/>
    </row>
    <row r="36" spans="1:26" ht="14.25" customHeight="1">
      <c r="A36" s="369"/>
      <c r="B36" s="369"/>
      <c r="C36" s="369"/>
      <c r="D36" s="369"/>
      <c r="E36" s="369"/>
      <c r="F36" s="369"/>
      <c r="G36" s="369"/>
      <c r="H36" s="370"/>
      <c r="I36" s="371"/>
      <c r="J36" s="371"/>
      <c r="K36" s="370"/>
      <c r="L36" s="369"/>
      <c r="M36" s="369"/>
      <c r="N36" s="369"/>
      <c r="O36" s="369"/>
      <c r="P36" s="369"/>
      <c r="Q36" s="369"/>
      <c r="R36" s="369"/>
      <c r="S36" s="369"/>
      <c r="T36" s="369"/>
      <c r="U36" s="369"/>
      <c r="V36" s="369"/>
      <c r="W36" s="369"/>
      <c r="X36" s="369"/>
      <c r="Y36" s="369"/>
      <c r="Z36" s="369"/>
    </row>
    <row r="37" spans="1:26" ht="14.25" customHeight="1">
      <c r="A37" s="369"/>
      <c r="B37" s="369"/>
      <c r="C37" s="369"/>
      <c r="D37" s="369"/>
      <c r="E37" s="369"/>
      <c r="F37" s="369"/>
      <c r="G37" s="369"/>
      <c r="H37" s="370"/>
      <c r="I37" s="371"/>
      <c r="J37" s="371"/>
      <c r="K37" s="370"/>
      <c r="L37" s="369"/>
      <c r="M37" s="369"/>
      <c r="N37" s="369"/>
      <c r="O37" s="369"/>
      <c r="P37" s="369"/>
      <c r="Q37" s="369"/>
      <c r="R37" s="369"/>
      <c r="S37" s="369"/>
      <c r="T37" s="369"/>
      <c r="U37" s="369"/>
      <c r="V37" s="369"/>
      <c r="W37" s="369"/>
      <c r="X37" s="369"/>
      <c r="Y37" s="369"/>
      <c r="Z37" s="369"/>
    </row>
    <row r="38" spans="1:26" ht="14.25" customHeight="1">
      <c r="A38" s="369"/>
      <c r="B38" s="369"/>
      <c r="C38" s="369"/>
      <c r="D38" s="369"/>
      <c r="E38" s="369"/>
      <c r="F38" s="369"/>
      <c r="G38" s="369"/>
      <c r="H38" s="370"/>
      <c r="I38" s="371"/>
      <c r="J38" s="371"/>
      <c r="K38" s="370"/>
      <c r="L38" s="369"/>
      <c r="M38" s="369"/>
      <c r="N38" s="369"/>
      <c r="O38" s="369"/>
      <c r="P38" s="369"/>
      <c r="Q38" s="369"/>
      <c r="R38" s="369"/>
      <c r="S38" s="369"/>
      <c r="T38" s="369"/>
      <c r="U38" s="369"/>
      <c r="V38" s="369"/>
      <c r="W38" s="369"/>
      <c r="X38" s="369"/>
      <c r="Y38" s="369"/>
      <c r="Z38" s="369"/>
    </row>
    <row r="39" spans="1:26" ht="14.25" customHeight="1">
      <c r="A39" s="369"/>
      <c r="B39" s="369"/>
      <c r="C39" s="369"/>
      <c r="D39" s="369"/>
      <c r="E39" s="369"/>
      <c r="F39" s="369"/>
      <c r="G39" s="369"/>
      <c r="H39" s="370"/>
      <c r="I39" s="371"/>
      <c r="J39" s="371"/>
      <c r="K39" s="370"/>
      <c r="L39" s="369"/>
      <c r="M39" s="369"/>
      <c r="N39" s="369"/>
      <c r="O39" s="369"/>
      <c r="P39" s="369"/>
      <c r="Q39" s="369"/>
      <c r="R39" s="369"/>
      <c r="S39" s="369"/>
      <c r="T39" s="369"/>
      <c r="U39" s="369"/>
      <c r="V39" s="369"/>
      <c r="W39" s="369"/>
      <c r="X39" s="369"/>
      <c r="Y39" s="369"/>
      <c r="Z39" s="369"/>
    </row>
    <row r="40" spans="1:26" ht="14.25" customHeight="1">
      <c r="A40" s="369"/>
      <c r="B40" s="369"/>
      <c r="C40" s="369"/>
      <c r="D40" s="369"/>
      <c r="E40" s="369"/>
      <c r="F40" s="369"/>
      <c r="G40" s="369"/>
      <c r="H40" s="370"/>
      <c r="I40" s="371"/>
      <c r="J40" s="371"/>
      <c r="K40" s="370"/>
      <c r="L40" s="369"/>
      <c r="M40" s="369"/>
      <c r="N40" s="369"/>
      <c r="O40" s="369"/>
      <c r="P40" s="369"/>
      <c r="Q40" s="369"/>
      <c r="R40" s="369"/>
      <c r="S40" s="369"/>
      <c r="T40" s="369"/>
      <c r="U40" s="369"/>
      <c r="V40" s="369"/>
      <c r="W40" s="369"/>
      <c r="X40" s="369"/>
      <c r="Y40" s="369"/>
      <c r="Z40" s="369"/>
    </row>
    <row r="41" spans="1:26" ht="14.25" customHeight="1">
      <c r="A41" s="369"/>
      <c r="B41" s="369"/>
      <c r="C41" s="369"/>
      <c r="D41" s="369"/>
      <c r="E41" s="369"/>
      <c r="F41" s="369"/>
      <c r="G41" s="369"/>
      <c r="H41" s="370"/>
      <c r="I41" s="371"/>
      <c r="J41" s="371"/>
      <c r="K41" s="370"/>
      <c r="L41" s="369"/>
      <c r="M41" s="369"/>
      <c r="N41" s="369"/>
      <c r="O41" s="369"/>
      <c r="P41" s="369"/>
      <c r="Q41" s="369"/>
      <c r="R41" s="369"/>
      <c r="S41" s="369"/>
      <c r="T41" s="369"/>
      <c r="U41" s="369"/>
      <c r="V41" s="369"/>
      <c r="W41" s="369"/>
      <c r="X41" s="369"/>
      <c r="Y41" s="369"/>
      <c r="Z41" s="369"/>
    </row>
    <row r="42" spans="1:26" ht="14.25" customHeight="1">
      <c r="A42" s="369"/>
      <c r="B42" s="369"/>
      <c r="C42" s="369"/>
      <c r="D42" s="369"/>
      <c r="E42" s="369"/>
      <c r="F42" s="369"/>
      <c r="G42" s="369"/>
      <c r="H42" s="370"/>
      <c r="I42" s="371"/>
      <c r="J42" s="371"/>
      <c r="K42" s="370"/>
      <c r="L42" s="369"/>
      <c r="M42" s="369"/>
      <c r="N42" s="369"/>
      <c r="O42" s="369"/>
      <c r="P42" s="369"/>
      <c r="Q42" s="369"/>
      <c r="R42" s="369"/>
      <c r="S42" s="369"/>
      <c r="T42" s="369"/>
      <c r="U42" s="369"/>
      <c r="V42" s="369"/>
      <c r="W42" s="369"/>
      <c r="X42" s="369"/>
      <c r="Y42" s="369"/>
      <c r="Z42" s="369"/>
    </row>
    <row r="43" spans="1:26" ht="14.25" customHeight="1">
      <c r="A43" s="369"/>
      <c r="B43" s="369"/>
      <c r="C43" s="369"/>
      <c r="D43" s="369"/>
      <c r="E43" s="369"/>
      <c r="F43" s="369"/>
      <c r="G43" s="369"/>
      <c r="H43" s="370"/>
      <c r="I43" s="371"/>
      <c r="J43" s="371"/>
      <c r="K43" s="370"/>
      <c r="L43" s="369"/>
      <c r="M43" s="369"/>
      <c r="N43" s="369"/>
      <c r="O43" s="369"/>
      <c r="P43" s="369"/>
      <c r="Q43" s="369"/>
      <c r="R43" s="369"/>
      <c r="S43" s="369"/>
      <c r="T43" s="369"/>
      <c r="U43" s="369"/>
      <c r="V43" s="369"/>
      <c r="W43" s="369"/>
      <c r="X43" s="369"/>
      <c r="Y43" s="369"/>
      <c r="Z43" s="369"/>
    </row>
    <row r="44" spans="1:26" ht="14.25" customHeight="1">
      <c r="A44" s="369"/>
      <c r="B44" s="369"/>
      <c r="C44" s="369"/>
      <c r="D44" s="369"/>
      <c r="E44" s="369"/>
      <c r="F44" s="369"/>
      <c r="G44" s="369"/>
      <c r="H44" s="370"/>
      <c r="I44" s="371"/>
      <c r="J44" s="371"/>
      <c r="K44" s="370"/>
      <c r="L44" s="369"/>
      <c r="M44" s="369"/>
      <c r="N44" s="369"/>
      <c r="O44" s="369"/>
      <c r="P44" s="369"/>
      <c r="Q44" s="369"/>
      <c r="R44" s="369"/>
      <c r="S44" s="369"/>
      <c r="T44" s="369"/>
      <c r="U44" s="369"/>
      <c r="V44" s="369"/>
      <c r="W44" s="369"/>
      <c r="X44" s="369"/>
      <c r="Y44" s="369"/>
      <c r="Z44" s="369"/>
    </row>
    <row r="45" spans="1:26" ht="14.25" customHeight="1">
      <c r="A45" s="369"/>
      <c r="B45" s="369"/>
      <c r="C45" s="369"/>
      <c r="D45" s="369"/>
      <c r="E45" s="369"/>
      <c r="F45" s="369"/>
      <c r="G45" s="369"/>
      <c r="H45" s="370"/>
      <c r="I45" s="371"/>
      <c r="J45" s="371"/>
      <c r="K45" s="370"/>
      <c r="L45" s="369"/>
      <c r="M45" s="369"/>
      <c r="N45" s="369"/>
      <c r="O45" s="369"/>
      <c r="P45" s="369"/>
      <c r="Q45" s="369"/>
      <c r="R45" s="369"/>
      <c r="S45" s="369"/>
      <c r="T45" s="369"/>
      <c r="U45" s="369"/>
      <c r="V45" s="369"/>
      <c r="W45" s="369"/>
      <c r="X45" s="369"/>
      <c r="Y45" s="369"/>
      <c r="Z45" s="369"/>
    </row>
    <row r="46" spans="1:26" ht="14.25" customHeight="1">
      <c r="A46" s="369"/>
      <c r="B46" s="369"/>
      <c r="C46" s="369"/>
      <c r="D46" s="369"/>
      <c r="E46" s="369"/>
      <c r="F46" s="369"/>
      <c r="G46" s="369"/>
      <c r="H46" s="370"/>
      <c r="I46" s="371"/>
      <c r="J46" s="371"/>
      <c r="K46" s="370"/>
      <c r="L46" s="369"/>
      <c r="M46" s="369"/>
      <c r="N46" s="369"/>
      <c r="O46" s="369"/>
      <c r="P46" s="369"/>
      <c r="Q46" s="369"/>
      <c r="R46" s="369"/>
      <c r="S46" s="369"/>
      <c r="T46" s="369"/>
      <c r="U46" s="369"/>
      <c r="V46" s="369"/>
      <c r="W46" s="369"/>
      <c r="X46" s="369"/>
      <c r="Y46" s="369"/>
      <c r="Z46" s="369"/>
    </row>
    <row r="47" spans="1:26" ht="14.25" customHeight="1">
      <c r="A47" s="369"/>
      <c r="B47" s="369"/>
      <c r="C47" s="369"/>
      <c r="D47" s="369"/>
      <c r="E47" s="369"/>
      <c r="F47" s="369"/>
      <c r="G47" s="369"/>
      <c r="H47" s="370"/>
      <c r="I47" s="371"/>
      <c r="J47" s="371"/>
      <c r="K47" s="370"/>
      <c r="L47" s="369"/>
      <c r="M47" s="369"/>
      <c r="N47" s="369"/>
      <c r="O47" s="369"/>
      <c r="P47" s="369"/>
      <c r="Q47" s="369"/>
      <c r="R47" s="369"/>
      <c r="S47" s="369"/>
      <c r="T47" s="369"/>
      <c r="U47" s="369"/>
      <c r="V47" s="369"/>
      <c r="W47" s="369"/>
      <c r="X47" s="369"/>
      <c r="Y47" s="369"/>
      <c r="Z47" s="369"/>
    </row>
    <row r="48" spans="1:26" ht="14.25" customHeight="1">
      <c r="A48" s="369"/>
      <c r="B48" s="369"/>
      <c r="C48" s="369"/>
      <c r="D48" s="369"/>
      <c r="E48" s="369"/>
      <c r="F48" s="369"/>
      <c r="G48" s="369"/>
      <c r="H48" s="370"/>
      <c r="I48" s="371"/>
      <c r="J48" s="371"/>
      <c r="K48" s="370"/>
      <c r="L48" s="369"/>
      <c r="M48" s="369"/>
      <c r="N48" s="369"/>
      <c r="O48" s="369"/>
      <c r="P48" s="369"/>
      <c r="Q48" s="369"/>
      <c r="R48" s="369"/>
      <c r="S48" s="369"/>
      <c r="T48" s="369"/>
      <c r="U48" s="369"/>
      <c r="V48" s="369"/>
      <c r="W48" s="369"/>
      <c r="X48" s="369"/>
      <c r="Y48" s="369"/>
      <c r="Z48" s="369"/>
    </row>
    <row r="49" spans="1:26" ht="14.25" customHeight="1">
      <c r="A49" s="369"/>
      <c r="B49" s="369"/>
      <c r="C49" s="369"/>
      <c r="D49" s="369"/>
      <c r="E49" s="369"/>
      <c r="F49" s="369"/>
      <c r="G49" s="369"/>
      <c r="H49" s="370"/>
      <c r="I49" s="371"/>
      <c r="J49" s="371"/>
      <c r="K49" s="370"/>
      <c r="L49" s="369"/>
      <c r="M49" s="369"/>
      <c r="N49" s="369"/>
      <c r="O49" s="369"/>
      <c r="P49" s="369"/>
      <c r="Q49" s="369"/>
      <c r="R49" s="369"/>
      <c r="S49" s="369"/>
      <c r="T49" s="369"/>
      <c r="U49" s="369"/>
      <c r="V49" s="369"/>
      <c r="W49" s="369"/>
      <c r="X49" s="369"/>
      <c r="Y49" s="369"/>
      <c r="Z49" s="369"/>
    </row>
    <row r="50" spans="1:26" ht="14.25" customHeight="1">
      <c r="A50" s="369"/>
      <c r="B50" s="369"/>
      <c r="C50" s="369"/>
      <c r="D50" s="369"/>
      <c r="E50" s="369"/>
      <c r="F50" s="369"/>
      <c r="G50" s="369"/>
      <c r="H50" s="370"/>
      <c r="I50" s="371"/>
      <c r="J50" s="371"/>
      <c r="K50" s="370"/>
      <c r="L50" s="369"/>
      <c r="M50" s="369"/>
      <c r="N50" s="369"/>
      <c r="O50" s="369"/>
      <c r="P50" s="369"/>
      <c r="Q50" s="369"/>
      <c r="R50" s="369"/>
      <c r="S50" s="369"/>
      <c r="T50" s="369"/>
      <c r="U50" s="369"/>
      <c r="V50" s="369"/>
      <c r="W50" s="369"/>
      <c r="X50" s="369"/>
      <c r="Y50" s="369"/>
      <c r="Z50" s="369"/>
    </row>
    <row r="51" spans="1:26" ht="14.25" customHeight="1">
      <c r="A51" s="369"/>
      <c r="B51" s="369"/>
      <c r="C51" s="369"/>
      <c r="D51" s="369"/>
      <c r="E51" s="369"/>
      <c r="F51" s="369"/>
      <c r="G51" s="369"/>
      <c r="H51" s="370"/>
      <c r="I51" s="371"/>
      <c r="J51" s="371"/>
      <c r="K51" s="370"/>
      <c r="L51" s="369"/>
      <c r="M51" s="369"/>
      <c r="N51" s="369"/>
      <c r="O51" s="369"/>
      <c r="P51" s="369"/>
      <c r="Q51" s="369"/>
      <c r="R51" s="369"/>
      <c r="S51" s="369"/>
      <c r="T51" s="369"/>
      <c r="U51" s="369"/>
      <c r="V51" s="369"/>
      <c r="W51" s="369"/>
      <c r="X51" s="369"/>
      <c r="Y51" s="369"/>
      <c r="Z51" s="369"/>
    </row>
    <row r="52" spans="1:26" ht="14.25" customHeight="1">
      <c r="A52" s="369"/>
      <c r="B52" s="369"/>
      <c r="C52" s="369"/>
      <c r="D52" s="369"/>
      <c r="E52" s="369"/>
      <c r="F52" s="369"/>
      <c r="G52" s="369"/>
      <c r="H52" s="370"/>
      <c r="I52" s="371"/>
      <c r="J52" s="371"/>
      <c r="K52" s="370"/>
      <c r="L52" s="369"/>
      <c r="M52" s="369"/>
      <c r="N52" s="369"/>
      <c r="O52" s="369"/>
      <c r="P52" s="369"/>
      <c r="Q52" s="369"/>
      <c r="R52" s="369"/>
      <c r="S52" s="369"/>
      <c r="T52" s="369"/>
      <c r="U52" s="369"/>
      <c r="V52" s="369"/>
      <c r="W52" s="369"/>
      <c r="X52" s="369"/>
      <c r="Y52" s="369"/>
      <c r="Z52" s="369"/>
    </row>
    <row r="53" spans="1:26" ht="14.25" customHeight="1">
      <c r="A53" s="369"/>
      <c r="B53" s="369"/>
      <c r="C53" s="369"/>
      <c r="D53" s="369"/>
      <c r="E53" s="369"/>
      <c r="F53" s="369"/>
      <c r="G53" s="369"/>
      <c r="H53" s="370"/>
      <c r="I53" s="371"/>
      <c r="J53" s="371"/>
      <c r="K53" s="370"/>
      <c r="L53" s="369"/>
      <c r="M53" s="369"/>
      <c r="N53" s="369"/>
      <c r="O53" s="369"/>
      <c r="P53" s="369"/>
      <c r="Q53" s="369"/>
      <c r="R53" s="369"/>
      <c r="S53" s="369"/>
      <c r="T53" s="369"/>
      <c r="U53" s="369"/>
      <c r="V53" s="369"/>
      <c r="W53" s="369"/>
      <c r="X53" s="369"/>
      <c r="Y53" s="369"/>
      <c r="Z53" s="369"/>
    </row>
    <row r="54" spans="1:26" ht="14.25" customHeight="1">
      <c r="A54" s="369"/>
      <c r="B54" s="369"/>
      <c r="C54" s="369"/>
      <c r="D54" s="369"/>
      <c r="E54" s="369"/>
      <c r="F54" s="369"/>
      <c r="G54" s="369"/>
      <c r="H54" s="370"/>
      <c r="I54" s="371"/>
      <c r="J54" s="371"/>
      <c r="K54" s="370"/>
      <c r="L54" s="369"/>
      <c r="M54" s="369"/>
      <c r="N54" s="369"/>
      <c r="O54" s="369"/>
      <c r="P54" s="369"/>
      <c r="Q54" s="369"/>
      <c r="R54" s="369"/>
      <c r="S54" s="369"/>
      <c r="T54" s="369"/>
      <c r="U54" s="369"/>
      <c r="V54" s="369"/>
      <c r="W54" s="369"/>
      <c r="X54" s="369"/>
      <c r="Y54" s="369"/>
      <c r="Z54" s="369"/>
    </row>
    <row r="55" spans="1:26" ht="14.25" customHeight="1">
      <c r="A55" s="369"/>
      <c r="B55" s="369"/>
      <c r="C55" s="369"/>
      <c r="D55" s="369"/>
      <c r="E55" s="369"/>
      <c r="F55" s="369"/>
      <c r="G55" s="369"/>
      <c r="H55" s="370"/>
      <c r="I55" s="371"/>
      <c r="J55" s="371"/>
      <c r="K55" s="370"/>
      <c r="L55" s="369"/>
      <c r="M55" s="369"/>
      <c r="N55" s="369"/>
      <c r="O55" s="369"/>
      <c r="P55" s="369"/>
      <c r="Q55" s="369"/>
      <c r="R55" s="369"/>
      <c r="S55" s="369"/>
      <c r="T55" s="369"/>
      <c r="U55" s="369"/>
      <c r="V55" s="369"/>
      <c r="W55" s="369"/>
      <c r="X55" s="369"/>
      <c r="Y55" s="369"/>
      <c r="Z55" s="369"/>
    </row>
    <row r="56" spans="1:26" ht="14.25" customHeight="1">
      <c r="A56" s="369"/>
      <c r="B56" s="369"/>
      <c r="C56" s="369"/>
      <c r="D56" s="369"/>
      <c r="E56" s="369"/>
      <c r="F56" s="369"/>
      <c r="G56" s="369"/>
      <c r="H56" s="370"/>
      <c r="I56" s="371"/>
      <c r="J56" s="371"/>
      <c r="K56" s="370"/>
      <c r="L56" s="369"/>
      <c r="M56" s="369"/>
      <c r="N56" s="369"/>
      <c r="O56" s="369"/>
      <c r="P56" s="369"/>
      <c r="Q56" s="369"/>
      <c r="R56" s="369"/>
      <c r="S56" s="369"/>
      <c r="T56" s="369"/>
      <c r="U56" s="369"/>
      <c r="V56" s="369"/>
      <c r="W56" s="369"/>
      <c r="X56" s="369"/>
      <c r="Y56" s="369"/>
      <c r="Z56" s="369"/>
    </row>
    <row r="57" spans="1:26" ht="14.25" customHeight="1">
      <c r="A57" s="369"/>
      <c r="B57" s="369"/>
      <c r="C57" s="369"/>
      <c r="D57" s="369"/>
      <c r="E57" s="369"/>
      <c r="F57" s="369"/>
      <c r="G57" s="369"/>
      <c r="H57" s="370"/>
      <c r="I57" s="371"/>
      <c r="J57" s="371"/>
      <c r="K57" s="370"/>
      <c r="L57" s="369"/>
      <c r="M57" s="369"/>
      <c r="N57" s="369"/>
      <c r="O57" s="369"/>
      <c r="P57" s="369"/>
      <c r="Q57" s="369"/>
      <c r="R57" s="369"/>
      <c r="S57" s="369"/>
      <c r="T57" s="369"/>
      <c r="U57" s="369"/>
      <c r="V57" s="369"/>
      <c r="W57" s="369"/>
      <c r="X57" s="369"/>
      <c r="Y57" s="369"/>
      <c r="Z57" s="369"/>
    </row>
    <row r="58" spans="1:26" ht="14.25" customHeight="1">
      <c r="A58" s="369"/>
      <c r="B58" s="369"/>
      <c r="C58" s="369"/>
      <c r="D58" s="369"/>
      <c r="E58" s="369"/>
      <c r="F58" s="369"/>
      <c r="G58" s="369"/>
      <c r="H58" s="370"/>
      <c r="I58" s="371"/>
      <c r="J58" s="371"/>
      <c r="K58" s="370"/>
      <c r="L58" s="369"/>
      <c r="M58" s="369"/>
      <c r="N58" s="369"/>
      <c r="O58" s="369"/>
      <c r="P58" s="369"/>
      <c r="Q58" s="369"/>
      <c r="R58" s="369"/>
      <c r="S58" s="369"/>
      <c r="T58" s="369"/>
      <c r="U58" s="369"/>
      <c r="V58" s="369"/>
      <c r="W58" s="369"/>
      <c r="X58" s="369"/>
      <c r="Y58" s="369"/>
      <c r="Z58" s="369"/>
    </row>
    <row r="59" spans="1:26" ht="14.25" customHeight="1">
      <c r="A59" s="369"/>
      <c r="B59" s="369"/>
      <c r="C59" s="369"/>
      <c r="D59" s="369"/>
      <c r="E59" s="369"/>
      <c r="F59" s="369"/>
      <c r="G59" s="369"/>
      <c r="H59" s="370"/>
      <c r="I59" s="371"/>
      <c r="J59" s="371"/>
      <c r="K59" s="370"/>
      <c r="L59" s="369"/>
      <c r="M59" s="369"/>
      <c r="N59" s="369"/>
      <c r="O59" s="369"/>
      <c r="P59" s="369"/>
      <c r="Q59" s="369"/>
      <c r="R59" s="369"/>
      <c r="S59" s="369"/>
      <c r="T59" s="369"/>
      <c r="U59" s="369"/>
      <c r="V59" s="369"/>
      <c r="W59" s="369"/>
      <c r="X59" s="369"/>
      <c r="Y59" s="369"/>
      <c r="Z59" s="369"/>
    </row>
    <row r="60" spans="1:26" ht="14.25" customHeight="1">
      <c r="A60" s="369"/>
      <c r="B60" s="369"/>
      <c r="C60" s="369"/>
      <c r="D60" s="369"/>
      <c r="E60" s="369"/>
      <c r="F60" s="369"/>
      <c r="G60" s="369"/>
      <c r="H60" s="370"/>
      <c r="I60" s="371"/>
      <c r="J60" s="371"/>
      <c r="K60" s="370"/>
      <c r="L60" s="369"/>
      <c r="M60" s="369"/>
      <c r="N60" s="369"/>
      <c r="O60" s="369"/>
      <c r="P60" s="369"/>
      <c r="Q60" s="369"/>
      <c r="R60" s="369"/>
      <c r="S60" s="369"/>
      <c r="T60" s="369"/>
      <c r="U60" s="369"/>
      <c r="V60" s="369"/>
      <c r="W60" s="369"/>
      <c r="X60" s="369"/>
      <c r="Y60" s="369"/>
      <c r="Z60" s="369"/>
    </row>
    <row r="61" spans="1:26" ht="14.25" customHeight="1">
      <c r="A61" s="369"/>
      <c r="B61" s="369"/>
      <c r="C61" s="369"/>
      <c r="D61" s="369"/>
      <c r="E61" s="369"/>
      <c r="F61" s="369"/>
      <c r="G61" s="369"/>
      <c r="H61" s="370"/>
      <c r="I61" s="371"/>
      <c r="J61" s="371"/>
      <c r="K61" s="370"/>
      <c r="L61" s="369"/>
      <c r="M61" s="369"/>
      <c r="N61" s="369"/>
      <c r="O61" s="369"/>
      <c r="P61" s="369"/>
      <c r="Q61" s="369"/>
      <c r="R61" s="369"/>
      <c r="S61" s="369"/>
      <c r="T61" s="369"/>
      <c r="U61" s="369"/>
      <c r="V61" s="369"/>
      <c r="W61" s="369"/>
      <c r="X61" s="369"/>
      <c r="Y61" s="369"/>
      <c r="Z61" s="369"/>
    </row>
    <row r="62" spans="1:26" ht="14.25" customHeight="1">
      <c r="A62" s="369"/>
      <c r="B62" s="369"/>
      <c r="C62" s="369"/>
      <c r="D62" s="369"/>
      <c r="E62" s="369"/>
      <c r="F62" s="369"/>
      <c r="G62" s="369"/>
      <c r="H62" s="370"/>
      <c r="I62" s="371"/>
      <c r="J62" s="371"/>
      <c r="K62" s="370"/>
      <c r="L62" s="369"/>
      <c r="M62" s="369"/>
      <c r="N62" s="369"/>
      <c r="O62" s="369"/>
      <c r="P62" s="369"/>
      <c r="Q62" s="369"/>
      <c r="R62" s="369"/>
      <c r="S62" s="369"/>
      <c r="T62" s="369"/>
      <c r="U62" s="369"/>
      <c r="V62" s="369"/>
      <c r="W62" s="369"/>
      <c r="X62" s="369"/>
      <c r="Y62" s="369"/>
      <c r="Z62" s="369"/>
    </row>
    <row r="63" spans="1:26" ht="14.25" customHeight="1">
      <c r="A63" s="369"/>
      <c r="B63" s="369"/>
      <c r="C63" s="369"/>
      <c r="D63" s="369"/>
      <c r="E63" s="369"/>
      <c r="F63" s="369"/>
      <c r="G63" s="369"/>
      <c r="H63" s="370"/>
      <c r="I63" s="371"/>
      <c r="J63" s="371"/>
      <c r="K63" s="370"/>
      <c r="L63" s="369"/>
      <c r="M63" s="369"/>
      <c r="N63" s="369"/>
      <c r="O63" s="369"/>
      <c r="P63" s="369"/>
      <c r="Q63" s="369"/>
      <c r="R63" s="369"/>
      <c r="S63" s="369"/>
      <c r="T63" s="369"/>
      <c r="U63" s="369"/>
      <c r="V63" s="369"/>
      <c r="W63" s="369"/>
      <c r="X63" s="369"/>
      <c r="Y63" s="369"/>
      <c r="Z63" s="369"/>
    </row>
    <row r="64" spans="1:26" ht="14.25" customHeight="1">
      <c r="A64" s="369"/>
      <c r="B64" s="369"/>
      <c r="C64" s="369"/>
      <c r="D64" s="369"/>
      <c r="E64" s="369"/>
      <c r="F64" s="369"/>
      <c r="G64" s="369"/>
      <c r="H64" s="370"/>
      <c r="I64" s="371"/>
      <c r="J64" s="371"/>
      <c r="K64" s="370"/>
      <c r="L64" s="369"/>
      <c r="M64" s="369"/>
      <c r="N64" s="369"/>
      <c r="O64" s="369"/>
      <c r="P64" s="369"/>
      <c r="Q64" s="369"/>
      <c r="R64" s="369"/>
      <c r="S64" s="369"/>
      <c r="T64" s="369"/>
      <c r="U64" s="369"/>
      <c r="V64" s="369"/>
      <c r="W64" s="369"/>
      <c r="X64" s="369"/>
      <c r="Y64" s="369"/>
      <c r="Z64" s="369"/>
    </row>
    <row r="65" spans="1:26" ht="14.25" customHeight="1">
      <c r="A65" s="369"/>
      <c r="B65" s="369"/>
      <c r="C65" s="369"/>
      <c r="D65" s="369"/>
      <c r="E65" s="369"/>
      <c r="F65" s="369"/>
      <c r="G65" s="369"/>
      <c r="H65" s="370"/>
      <c r="I65" s="371"/>
      <c r="J65" s="371"/>
      <c r="K65" s="370"/>
      <c r="L65" s="369"/>
      <c r="M65" s="369"/>
      <c r="N65" s="369"/>
      <c r="O65" s="369"/>
      <c r="P65" s="369"/>
      <c r="Q65" s="369"/>
      <c r="R65" s="369"/>
      <c r="S65" s="369"/>
      <c r="T65" s="369"/>
      <c r="U65" s="369"/>
      <c r="V65" s="369"/>
      <c r="W65" s="369"/>
      <c r="X65" s="369"/>
      <c r="Y65" s="369"/>
      <c r="Z65" s="369"/>
    </row>
    <row r="66" spans="1:26" ht="14.25" customHeight="1">
      <c r="A66" s="369"/>
      <c r="B66" s="369"/>
      <c r="C66" s="369"/>
      <c r="D66" s="369"/>
      <c r="E66" s="369"/>
      <c r="F66" s="369"/>
      <c r="G66" s="369"/>
      <c r="H66" s="370"/>
      <c r="I66" s="371"/>
      <c r="J66" s="371"/>
      <c r="K66" s="370"/>
      <c r="L66" s="369"/>
      <c r="M66" s="369"/>
      <c r="N66" s="369"/>
      <c r="O66" s="369"/>
      <c r="P66" s="369"/>
      <c r="Q66" s="369"/>
      <c r="R66" s="369"/>
      <c r="S66" s="369"/>
      <c r="T66" s="369"/>
      <c r="U66" s="369"/>
      <c r="V66" s="369"/>
      <c r="W66" s="369"/>
      <c r="X66" s="369"/>
      <c r="Y66" s="369"/>
      <c r="Z66" s="369"/>
    </row>
    <row r="67" spans="1:26" ht="14.25" customHeight="1">
      <c r="A67" s="369"/>
      <c r="B67" s="369"/>
      <c r="C67" s="369"/>
      <c r="D67" s="369"/>
      <c r="E67" s="369"/>
      <c r="F67" s="369"/>
      <c r="G67" s="369"/>
      <c r="H67" s="370"/>
      <c r="I67" s="371"/>
      <c r="J67" s="371"/>
      <c r="K67" s="370"/>
      <c r="L67" s="369"/>
      <c r="M67" s="369"/>
      <c r="N67" s="369"/>
      <c r="O67" s="369"/>
      <c r="P67" s="369"/>
      <c r="Q67" s="369"/>
      <c r="R67" s="369"/>
      <c r="S67" s="369"/>
      <c r="T67" s="369"/>
      <c r="U67" s="369"/>
      <c r="V67" s="369"/>
      <c r="W67" s="369"/>
      <c r="X67" s="369"/>
      <c r="Y67" s="369"/>
      <c r="Z67" s="369"/>
    </row>
    <row r="68" spans="1:26" ht="14.25" customHeight="1">
      <c r="A68" s="369"/>
      <c r="B68" s="369"/>
      <c r="C68" s="369"/>
      <c r="D68" s="369"/>
      <c r="E68" s="369"/>
      <c r="F68" s="369"/>
      <c r="G68" s="369"/>
      <c r="H68" s="370"/>
      <c r="I68" s="371"/>
      <c r="J68" s="371"/>
      <c r="K68" s="370"/>
      <c r="L68" s="369"/>
      <c r="M68" s="369"/>
      <c r="N68" s="369"/>
      <c r="O68" s="369"/>
      <c r="P68" s="369"/>
      <c r="Q68" s="369"/>
      <c r="R68" s="369"/>
      <c r="S68" s="369"/>
      <c r="T68" s="369"/>
      <c r="U68" s="369"/>
      <c r="V68" s="369"/>
      <c r="W68" s="369"/>
      <c r="X68" s="369"/>
      <c r="Y68" s="369"/>
      <c r="Z68" s="369"/>
    </row>
    <row r="69" spans="1:26" ht="14.25" customHeight="1">
      <c r="A69" s="369"/>
      <c r="B69" s="369"/>
      <c r="C69" s="369"/>
      <c r="D69" s="369"/>
      <c r="E69" s="369"/>
      <c r="F69" s="369"/>
      <c r="G69" s="369"/>
      <c r="H69" s="370"/>
      <c r="I69" s="371"/>
      <c r="J69" s="371"/>
      <c r="K69" s="370"/>
      <c r="L69" s="369"/>
      <c r="M69" s="369"/>
      <c r="N69" s="369"/>
      <c r="O69" s="369"/>
      <c r="P69" s="369"/>
      <c r="Q69" s="369"/>
      <c r="R69" s="369"/>
      <c r="S69" s="369"/>
      <c r="T69" s="369"/>
      <c r="U69" s="369"/>
      <c r="V69" s="369"/>
      <c r="W69" s="369"/>
      <c r="X69" s="369"/>
      <c r="Y69" s="369"/>
      <c r="Z69" s="369"/>
    </row>
    <row r="70" spans="1:26" ht="14.25" customHeight="1">
      <c r="A70" s="369"/>
      <c r="B70" s="369"/>
      <c r="C70" s="369"/>
      <c r="D70" s="369"/>
      <c r="E70" s="369"/>
      <c r="F70" s="369"/>
      <c r="G70" s="369"/>
      <c r="H70" s="370"/>
      <c r="I70" s="371"/>
      <c r="J70" s="371"/>
      <c r="K70" s="370"/>
      <c r="L70" s="369"/>
      <c r="M70" s="369"/>
      <c r="N70" s="369"/>
      <c r="O70" s="369"/>
      <c r="P70" s="369"/>
      <c r="Q70" s="369"/>
      <c r="R70" s="369"/>
      <c r="S70" s="369"/>
      <c r="T70" s="369"/>
      <c r="U70" s="369"/>
      <c r="V70" s="369"/>
      <c r="W70" s="369"/>
      <c r="X70" s="369"/>
      <c r="Y70" s="369"/>
      <c r="Z70" s="369"/>
    </row>
    <row r="71" spans="1:26" ht="14.25" customHeight="1">
      <c r="A71" s="369"/>
      <c r="B71" s="369"/>
      <c r="C71" s="369"/>
      <c r="D71" s="369"/>
      <c r="E71" s="369"/>
      <c r="F71" s="369"/>
      <c r="G71" s="369"/>
      <c r="H71" s="370"/>
      <c r="I71" s="371"/>
      <c r="J71" s="371"/>
      <c r="K71" s="370"/>
      <c r="L71" s="369"/>
      <c r="M71" s="369"/>
      <c r="N71" s="369"/>
      <c r="O71" s="369"/>
      <c r="P71" s="369"/>
      <c r="Q71" s="369"/>
      <c r="R71" s="369"/>
      <c r="S71" s="369"/>
      <c r="T71" s="369"/>
      <c r="U71" s="369"/>
      <c r="V71" s="369"/>
      <c r="W71" s="369"/>
      <c r="X71" s="369"/>
      <c r="Y71" s="369"/>
      <c r="Z71" s="369"/>
    </row>
    <row r="72" spans="1:26" ht="14.25" customHeight="1">
      <c r="A72" s="369"/>
      <c r="B72" s="369"/>
      <c r="C72" s="369"/>
      <c r="D72" s="369"/>
      <c r="E72" s="369"/>
      <c r="F72" s="369"/>
      <c r="G72" s="369"/>
      <c r="H72" s="370"/>
      <c r="I72" s="371"/>
      <c r="J72" s="371"/>
      <c r="K72" s="370"/>
      <c r="L72" s="369"/>
      <c r="M72" s="369"/>
      <c r="N72" s="369"/>
      <c r="O72" s="369"/>
      <c r="P72" s="369"/>
      <c r="Q72" s="369"/>
      <c r="R72" s="369"/>
      <c r="S72" s="369"/>
      <c r="T72" s="369"/>
      <c r="U72" s="369"/>
      <c r="V72" s="369"/>
      <c r="W72" s="369"/>
      <c r="X72" s="369"/>
      <c r="Y72" s="369"/>
      <c r="Z72" s="369"/>
    </row>
    <row r="73" spans="1:26" ht="14.25" customHeight="1">
      <c r="A73" s="369"/>
      <c r="B73" s="369"/>
      <c r="C73" s="369"/>
      <c r="D73" s="369"/>
      <c r="E73" s="369"/>
      <c r="F73" s="369"/>
      <c r="G73" s="369"/>
      <c r="H73" s="370"/>
      <c r="I73" s="371"/>
      <c r="J73" s="371"/>
      <c r="K73" s="370"/>
      <c r="L73" s="369"/>
      <c r="M73" s="369"/>
      <c r="N73" s="369"/>
      <c r="O73" s="369"/>
      <c r="P73" s="369"/>
      <c r="Q73" s="369"/>
      <c r="R73" s="369"/>
      <c r="S73" s="369"/>
      <c r="T73" s="369"/>
      <c r="U73" s="369"/>
      <c r="V73" s="369"/>
      <c r="W73" s="369"/>
      <c r="X73" s="369"/>
      <c r="Y73" s="369"/>
      <c r="Z73" s="369"/>
    </row>
    <row r="74" spans="1:26" ht="14.25" customHeight="1">
      <c r="A74" s="369"/>
      <c r="B74" s="369"/>
      <c r="C74" s="369"/>
      <c r="D74" s="369"/>
      <c r="E74" s="369"/>
      <c r="F74" s="369"/>
      <c r="G74" s="369"/>
      <c r="H74" s="370"/>
      <c r="I74" s="371"/>
      <c r="J74" s="371"/>
      <c r="K74" s="370"/>
      <c r="L74" s="369"/>
      <c r="M74" s="369"/>
      <c r="N74" s="369"/>
      <c r="O74" s="369"/>
      <c r="P74" s="369"/>
      <c r="Q74" s="369"/>
      <c r="R74" s="369"/>
      <c r="S74" s="369"/>
      <c r="T74" s="369"/>
      <c r="U74" s="369"/>
      <c r="V74" s="369"/>
      <c r="W74" s="369"/>
      <c r="X74" s="369"/>
      <c r="Y74" s="369"/>
      <c r="Z74" s="369"/>
    </row>
    <row r="75" spans="1:26" ht="14.25" customHeight="1">
      <c r="A75" s="369"/>
      <c r="B75" s="369"/>
      <c r="C75" s="369"/>
      <c r="D75" s="369"/>
      <c r="E75" s="369"/>
      <c r="F75" s="369"/>
      <c r="G75" s="369"/>
      <c r="H75" s="370"/>
      <c r="I75" s="371"/>
      <c r="J75" s="371"/>
      <c r="K75" s="370"/>
      <c r="L75" s="369"/>
      <c r="M75" s="369"/>
      <c r="N75" s="369"/>
      <c r="O75" s="369"/>
      <c r="P75" s="369"/>
      <c r="Q75" s="369"/>
      <c r="R75" s="369"/>
      <c r="S75" s="369"/>
      <c r="T75" s="369"/>
      <c r="U75" s="369"/>
      <c r="V75" s="369"/>
      <c r="W75" s="369"/>
      <c r="X75" s="369"/>
      <c r="Y75" s="369"/>
      <c r="Z75" s="369"/>
    </row>
    <row r="76" spans="1:26" ht="14.25" customHeight="1">
      <c r="A76" s="369"/>
      <c r="B76" s="369"/>
      <c r="C76" s="369"/>
      <c r="D76" s="369"/>
      <c r="E76" s="369"/>
      <c r="F76" s="369"/>
      <c r="G76" s="369"/>
      <c r="H76" s="370"/>
      <c r="I76" s="371"/>
      <c r="J76" s="371"/>
      <c r="K76" s="370"/>
      <c r="L76" s="369"/>
      <c r="M76" s="369"/>
      <c r="N76" s="369"/>
      <c r="O76" s="369"/>
      <c r="P76" s="369"/>
      <c r="Q76" s="369"/>
      <c r="R76" s="369"/>
      <c r="S76" s="369"/>
      <c r="T76" s="369"/>
      <c r="U76" s="369"/>
      <c r="V76" s="369"/>
      <c r="W76" s="369"/>
      <c r="X76" s="369"/>
      <c r="Y76" s="369"/>
      <c r="Z76" s="369"/>
    </row>
    <row r="77" spans="1:26" ht="14.25" customHeight="1">
      <c r="A77" s="369"/>
      <c r="B77" s="369"/>
      <c r="C77" s="369"/>
      <c r="D77" s="369"/>
      <c r="E77" s="369"/>
      <c r="F77" s="369"/>
      <c r="G77" s="369"/>
      <c r="H77" s="370"/>
      <c r="I77" s="371"/>
      <c r="J77" s="371"/>
      <c r="K77" s="370"/>
      <c r="L77" s="369"/>
      <c r="M77" s="369"/>
      <c r="N77" s="369"/>
      <c r="O77" s="369"/>
      <c r="P77" s="369"/>
      <c r="Q77" s="369"/>
      <c r="R77" s="369"/>
      <c r="S77" s="369"/>
      <c r="T77" s="369"/>
      <c r="U77" s="369"/>
      <c r="V77" s="369"/>
      <c r="W77" s="369"/>
      <c r="X77" s="369"/>
      <c r="Y77" s="369"/>
      <c r="Z77" s="369"/>
    </row>
    <row r="78" spans="1:26" ht="14.25" customHeight="1">
      <c r="A78" s="369"/>
      <c r="B78" s="369"/>
      <c r="C78" s="369"/>
      <c r="D78" s="369"/>
      <c r="E78" s="369"/>
      <c r="F78" s="369"/>
      <c r="G78" s="369"/>
      <c r="H78" s="370"/>
      <c r="I78" s="371"/>
      <c r="J78" s="371"/>
      <c r="K78" s="370"/>
      <c r="L78" s="369"/>
      <c r="M78" s="369"/>
      <c r="N78" s="369"/>
      <c r="O78" s="369"/>
      <c r="P78" s="369"/>
      <c r="Q78" s="369"/>
      <c r="R78" s="369"/>
      <c r="S78" s="369"/>
      <c r="T78" s="369"/>
      <c r="U78" s="369"/>
      <c r="V78" s="369"/>
      <c r="W78" s="369"/>
      <c r="X78" s="369"/>
      <c r="Y78" s="369"/>
      <c r="Z78" s="369"/>
    </row>
    <row r="79" spans="1:26" ht="14.25" customHeight="1">
      <c r="A79" s="369"/>
      <c r="B79" s="369"/>
      <c r="C79" s="369"/>
      <c r="D79" s="369"/>
      <c r="E79" s="369"/>
      <c r="F79" s="369"/>
      <c r="G79" s="369"/>
      <c r="H79" s="370"/>
      <c r="I79" s="371"/>
      <c r="J79" s="371"/>
      <c r="K79" s="370"/>
      <c r="L79" s="369"/>
      <c r="M79" s="369"/>
      <c r="N79" s="369"/>
      <c r="O79" s="369"/>
      <c r="P79" s="369"/>
      <c r="Q79" s="369"/>
      <c r="R79" s="369"/>
      <c r="S79" s="369"/>
      <c r="T79" s="369"/>
      <c r="U79" s="369"/>
      <c r="V79" s="369"/>
      <c r="W79" s="369"/>
      <c r="X79" s="369"/>
      <c r="Y79" s="369"/>
      <c r="Z79" s="369"/>
    </row>
    <row r="80" spans="1:26" ht="14.25" customHeight="1">
      <c r="A80" s="369"/>
      <c r="B80" s="369"/>
      <c r="C80" s="369"/>
      <c r="D80" s="369"/>
      <c r="E80" s="369"/>
      <c r="F80" s="369"/>
      <c r="G80" s="369"/>
      <c r="H80" s="370"/>
      <c r="I80" s="371"/>
      <c r="J80" s="371"/>
      <c r="K80" s="370"/>
      <c r="L80" s="369"/>
      <c r="M80" s="369"/>
      <c r="N80" s="369"/>
      <c r="O80" s="369"/>
      <c r="P80" s="369"/>
      <c r="Q80" s="369"/>
      <c r="R80" s="369"/>
      <c r="S80" s="369"/>
      <c r="T80" s="369"/>
      <c r="U80" s="369"/>
      <c r="V80" s="369"/>
      <c r="W80" s="369"/>
      <c r="X80" s="369"/>
      <c r="Y80" s="369"/>
      <c r="Z80" s="369"/>
    </row>
    <row r="81" spans="1:26" ht="14.25" customHeight="1">
      <c r="A81" s="369"/>
      <c r="B81" s="369"/>
      <c r="C81" s="369"/>
      <c r="D81" s="369"/>
      <c r="E81" s="369"/>
      <c r="F81" s="369"/>
      <c r="G81" s="369"/>
      <c r="H81" s="370"/>
      <c r="I81" s="371"/>
      <c r="J81" s="371"/>
      <c r="K81" s="370"/>
      <c r="L81" s="369"/>
      <c r="M81" s="369"/>
      <c r="N81" s="369"/>
      <c r="O81" s="369"/>
      <c r="P81" s="369"/>
      <c r="Q81" s="369"/>
      <c r="R81" s="369"/>
      <c r="S81" s="369"/>
      <c r="T81" s="369"/>
      <c r="U81" s="369"/>
      <c r="V81" s="369"/>
      <c r="W81" s="369"/>
      <c r="X81" s="369"/>
      <c r="Y81" s="369"/>
      <c r="Z81" s="369"/>
    </row>
    <row r="82" spans="1:26" ht="14.25" customHeight="1">
      <c r="A82" s="369"/>
      <c r="B82" s="369"/>
      <c r="C82" s="369"/>
      <c r="D82" s="369"/>
      <c r="E82" s="369"/>
      <c r="F82" s="369"/>
      <c r="G82" s="369"/>
      <c r="H82" s="370"/>
      <c r="I82" s="371"/>
      <c r="J82" s="371"/>
      <c r="K82" s="370"/>
      <c r="L82" s="369"/>
      <c r="M82" s="369"/>
      <c r="N82" s="369"/>
      <c r="O82" s="369"/>
      <c r="P82" s="369"/>
      <c r="Q82" s="369"/>
      <c r="R82" s="369"/>
      <c r="S82" s="369"/>
      <c r="T82" s="369"/>
      <c r="U82" s="369"/>
      <c r="V82" s="369"/>
      <c r="W82" s="369"/>
      <c r="X82" s="369"/>
      <c r="Y82" s="369"/>
      <c r="Z82" s="369"/>
    </row>
    <row r="83" spans="1:26" ht="14.25" customHeight="1">
      <c r="A83" s="369"/>
      <c r="B83" s="369"/>
      <c r="C83" s="369"/>
      <c r="D83" s="369"/>
      <c r="E83" s="369"/>
      <c r="F83" s="369"/>
      <c r="G83" s="369"/>
      <c r="H83" s="370"/>
      <c r="I83" s="371"/>
      <c r="J83" s="371"/>
      <c r="K83" s="370"/>
      <c r="L83" s="369"/>
      <c r="M83" s="369"/>
      <c r="N83" s="369"/>
      <c r="O83" s="369"/>
      <c r="P83" s="369"/>
      <c r="Q83" s="369"/>
      <c r="R83" s="369"/>
      <c r="S83" s="369"/>
      <c r="T83" s="369"/>
      <c r="U83" s="369"/>
      <c r="V83" s="369"/>
      <c r="W83" s="369"/>
      <c r="X83" s="369"/>
      <c r="Y83" s="369"/>
      <c r="Z83" s="369"/>
    </row>
    <row r="84" spans="1:26" ht="14.25" customHeight="1">
      <c r="A84" s="369"/>
      <c r="B84" s="369"/>
      <c r="C84" s="369"/>
      <c r="D84" s="369"/>
      <c r="E84" s="369"/>
      <c r="F84" s="369"/>
      <c r="G84" s="369"/>
      <c r="H84" s="370"/>
      <c r="I84" s="371"/>
      <c r="J84" s="371"/>
      <c r="K84" s="370"/>
      <c r="L84" s="369"/>
      <c r="M84" s="369"/>
      <c r="N84" s="369"/>
      <c r="O84" s="369"/>
      <c r="P84" s="369"/>
      <c r="Q84" s="369"/>
      <c r="R84" s="369"/>
      <c r="S84" s="369"/>
      <c r="T84" s="369"/>
      <c r="U84" s="369"/>
      <c r="V84" s="369"/>
      <c r="W84" s="369"/>
      <c r="X84" s="369"/>
      <c r="Y84" s="369"/>
      <c r="Z84" s="369"/>
    </row>
    <row r="85" spans="1:26" ht="14.25" customHeight="1">
      <c r="A85" s="369"/>
      <c r="B85" s="369"/>
      <c r="C85" s="369"/>
      <c r="D85" s="369"/>
      <c r="E85" s="369"/>
      <c r="F85" s="369"/>
      <c r="G85" s="369"/>
      <c r="H85" s="370"/>
      <c r="I85" s="371"/>
      <c r="J85" s="371"/>
      <c r="K85" s="370"/>
      <c r="L85" s="369"/>
      <c r="M85" s="369"/>
      <c r="N85" s="369"/>
      <c r="O85" s="369"/>
      <c r="P85" s="369"/>
      <c r="Q85" s="369"/>
      <c r="R85" s="369"/>
      <c r="S85" s="369"/>
      <c r="T85" s="369"/>
      <c r="U85" s="369"/>
      <c r="V85" s="369"/>
      <c r="W85" s="369"/>
      <c r="X85" s="369"/>
      <c r="Y85" s="369"/>
      <c r="Z85" s="369"/>
    </row>
    <row r="86" spans="1:26" ht="14.25" customHeight="1">
      <c r="A86" s="369"/>
      <c r="B86" s="369"/>
      <c r="C86" s="369"/>
      <c r="D86" s="369"/>
      <c r="E86" s="369"/>
      <c r="F86" s="369"/>
      <c r="G86" s="369"/>
      <c r="H86" s="370"/>
      <c r="I86" s="371"/>
      <c r="J86" s="371"/>
      <c r="K86" s="370"/>
      <c r="L86" s="369"/>
      <c r="M86" s="369"/>
      <c r="N86" s="369"/>
      <c r="O86" s="369"/>
      <c r="P86" s="369"/>
      <c r="Q86" s="369"/>
      <c r="R86" s="369"/>
      <c r="S86" s="369"/>
      <c r="T86" s="369"/>
      <c r="U86" s="369"/>
      <c r="V86" s="369"/>
      <c r="W86" s="369"/>
      <c r="X86" s="369"/>
      <c r="Y86" s="369"/>
      <c r="Z86" s="369"/>
    </row>
    <row r="87" spans="1:26" ht="14.25" customHeight="1">
      <c r="A87" s="369"/>
      <c r="B87" s="369"/>
      <c r="C87" s="369"/>
      <c r="D87" s="369"/>
      <c r="E87" s="369"/>
      <c r="F87" s="369"/>
      <c r="G87" s="369"/>
      <c r="H87" s="370"/>
      <c r="I87" s="371"/>
      <c r="J87" s="371"/>
      <c r="K87" s="370"/>
      <c r="L87" s="369"/>
      <c r="M87" s="369"/>
      <c r="N87" s="369"/>
      <c r="O87" s="369"/>
      <c r="P87" s="369"/>
      <c r="Q87" s="369"/>
      <c r="R87" s="369"/>
      <c r="S87" s="369"/>
      <c r="T87" s="369"/>
      <c r="U87" s="369"/>
      <c r="V87" s="369"/>
      <c r="W87" s="369"/>
      <c r="X87" s="369"/>
      <c r="Y87" s="369"/>
      <c r="Z87" s="369"/>
    </row>
    <row r="88" spans="1:26" ht="14.25" customHeight="1">
      <c r="A88" s="369"/>
      <c r="B88" s="369"/>
      <c r="C88" s="369"/>
      <c r="D88" s="369"/>
      <c r="E88" s="369"/>
      <c r="F88" s="369"/>
      <c r="G88" s="369"/>
      <c r="H88" s="370"/>
      <c r="I88" s="371"/>
      <c r="J88" s="371"/>
      <c r="K88" s="370"/>
      <c r="L88" s="369"/>
      <c r="M88" s="369"/>
      <c r="N88" s="369"/>
      <c r="O88" s="369"/>
      <c r="P88" s="369"/>
      <c r="Q88" s="369"/>
      <c r="R88" s="369"/>
      <c r="S88" s="369"/>
      <c r="T88" s="369"/>
      <c r="U88" s="369"/>
      <c r="V88" s="369"/>
      <c r="W88" s="369"/>
      <c r="X88" s="369"/>
      <c r="Y88" s="369"/>
      <c r="Z88" s="369"/>
    </row>
    <row r="89" spans="1:26" ht="14.25" customHeight="1">
      <c r="A89" s="369"/>
      <c r="B89" s="369"/>
      <c r="C89" s="369"/>
      <c r="D89" s="369"/>
      <c r="E89" s="369"/>
      <c r="F89" s="369"/>
      <c r="G89" s="369"/>
      <c r="H89" s="370"/>
      <c r="I89" s="371"/>
      <c r="J89" s="371"/>
      <c r="K89" s="370"/>
      <c r="L89" s="369"/>
      <c r="M89" s="369"/>
      <c r="N89" s="369"/>
      <c r="O89" s="369"/>
      <c r="P89" s="369"/>
      <c r="Q89" s="369"/>
      <c r="R89" s="369"/>
      <c r="S89" s="369"/>
      <c r="T89" s="369"/>
      <c r="U89" s="369"/>
      <c r="V89" s="369"/>
      <c r="W89" s="369"/>
      <c r="X89" s="369"/>
      <c r="Y89" s="369"/>
      <c r="Z89" s="369"/>
    </row>
    <row r="90" spans="1:26" ht="14.25" customHeight="1">
      <c r="A90" s="369"/>
      <c r="B90" s="369"/>
      <c r="C90" s="369"/>
      <c r="D90" s="369"/>
      <c r="E90" s="369"/>
      <c r="F90" s="369"/>
      <c r="G90" s="369"/>
      <c r="H90" s="370"/>
      <c r="I90" s="371"/>
      <c r="J90" s="371"/>
      <c r="K90" s="370"/>
      <c r="L90" s="369"/>
      <c r="M90" s="369"/>
      <c r="N90" s="369"/>
      <c r="O90" s="369"/>
      <c r="P90" s="369"/>
      <c r="Q90" s="369"/>
      <c r="R90" s="369"/>
      <c r="S90" s="369"/>
      <c r="T90" s="369"/>
      <c r="U90" s="369"/>
      <c r="V90" s="369"/>
      <c r="W90" s="369"/>
      <c r="X90" s="369"/>
      <c r="Y90" s="369"/>
      <c r="Z90" s="369"/>
    </row>
    <row r="91" spans="1:26" ht="14.25" customHeight="1">
      <c r="A91" s="369"/>
      <c r="B91" s="369"/>
      <c r="C91" s="369"/>
      <c r="D91" s="369"/>
      <c r="E91" s="369"/>
      <c r="F91" s="369"/>
      <c r="G91" s="369"/>
      <c r="H91" s="370"/>
      <c r="I91" s="371"/>
      <c r="J91" s="371"/>
      <c r="K91" s="370"/>
      <c r="L91" s="369"/>
      <c r="M91" s="369"/>
      <c r="N91" s="369"/>
      <c r="O91" s="369"/>
      <c r="P91" s="369"/>
      <c r="Q91" s="369"/>
      <c r="R91" s="369"/>
      <c r="S91" s="369"/>
      <c r="T91" s="369"/>
      <c r="U91" s="369"/>
      <c r="V91" s="369"/>
      <c r="W91" s="369"/>
      <c r="X91" s="369"/>
      <c r="Y91" s="369"/>
      <c r="Z91" s="369"/>
    </row>
    <row r="92" spans="1:26" ht="14.25" customHeight="1">
      <c r="A92" s="369"/>
      <c r="B92" s="369"/>
      <c r="C92" s="369"/>
      <c r="D92" s="369"/>
      <c r="E92" s="369"/>
      <c r="F92" s="369"/>
      <c r="G92" s="369"/>
      <c r="H92" s="370"/>
      <c r="I92" s="371"/>
      <c r="J92" s="371"/>
      <c r="K92" s="370"/>
      <c r="L92" s="369"/>
      <c r="M92" s="369"/>
      <c r="N92" s="369"/>
      <c r="O92" s="369"/>
      <c r="P92" s="369"/>
      <c r="Q92" s="369"/>
      <c r="R92" s="369"/>
      <c r="S92" s="369"/>
      <c r="T92" s="369"/>
      <c r="U92" s="369"/>
      <c r="V92" s="369"/>
      <c r="W92" s="369"/>
      <c r="X92" s="369"/>
      <c r="Y92" s="369"/>
      <c r="Z92" s="369"/>
    </row>
    <row r="93" spans="1:26" ht="14.25" customHeight="1">
      <c r="A93" s="369"/>
      <c r="B93" s="369"/>
      <c r="C93" s="369"/>
      <c r="D93" s="369"/>
      <c r="E93" s="369"/>
      <c r="F93" s="369"/>
      <c r="G93" s="369"/>
      <c r="H93" s="370"/>
      <c r="I93" s="371"/>
      <c r="J93" s="371"/>
      <c r="K93" s="370"/>
      <c r="L93" s="369"/>
      <c r="M93" s="369"/>
      <c r="N93" s="369"/>
      <c r="O93" s="369"/>
      <c r="P93" s="369"/>
      <c r="Q93" s="369"/>
      <c r="R93" s="369"/>
      <c r="S93" s="369"/>
      <c r="T93" s="369"/>
      <c r="U93" s="369"/>
      <c r="V93" s="369"/>
      <c r="W93" s="369"/>
      <c r="X93" s="369"/>
      <c r="Y93" s="369"/>
      <c r="Z93" s="369"/>
    </row>
    <row r="94" spans="1:26" ht="14.25" customHeight="1">
      <c r="A94" s="369"/>
      <c r="B94" s="369"/>
      <c r="C94" s="369"/>
      <c r="D94" s="369"/>
      <c r="E94" s="369"/>
      <c r="F94" s="369"/>
      <c r="G94" s="369"/>
      <c r="H94" s="370"/>
      <c r="I94" s="371"/>
      <c r="J94" s="371"/>
      <c r="K94" s="370"/>
      <c r="L94" s="369"/>
      <c r="M94" s="369"/>
      <c r="N94" s="369"/>
      <c r="O94" s="369"/>
      <c r="P94" s="369"/>
      <c r="Q94" s="369"/>
      <c r="R94" s="369"/>
      <c r="S94" s="369"/>
      <c r="T94" s="369"/>
      <c r="U94" s="369"/>
      <c r="V94" s="369"/>
      <c r="W94" s="369"/>
      <c r="X94" s="369"/>
      <c r="Y94" s="369"/>
      <c r="Z94" s="369"/>
    </row>
    <row r="95" spans="1:26" ht="14.25" customHeight="1">
      <c r="A95" s="369"/>
      <c r="B95" s="369"/>
      <c r="C95" s="369"/>
      <c r="D95" s="369"/>
      <c r="E95" s="369"/>
      <c r="F95" s="369"/>
      <c r="G95" s="369"/>
      <c r="H95" s="370"/>
      <c r="I95" s="371"/>
      <c r="J95" s="371"/>
      <c r="K95" s="370"/>
      <c r="L95" s="369"/>
      <c r="M95" s="369"/>
      <c r="N95" s="369"/>
      <c r="O95" s="369"/>
      <c r="P95" s="369"/>
      <c r="Q95" s="369"/>
      <c r="R95" s="369"/>
      <c r="S95" s="369"/>
      <c r="T95" s="369"/>
      <c r="U95" s="369"/>
      <c r="V95" s="369"/>
      <c r="W95" s="369"/>
      <c r="X95" s="369"/>
      <c r="Y95" s="369"/>
      <c r="Z95" s="369"/>
    </row>
    <row r="96" spans="1:26" ht="14.25" customHeight="1">
      <c r="A96" s="369"/>
      <c r="B96" s="369"/>
      <c r="C96" s="369"/>
      <c r="D96" s="369"/>
      <c r="E96" s="369"/>
      <c r="F96" s="369"/>
      <c r="G96" s="369"/>
      <c r="H96" s="370"/>
      <c r="I96" s="371"/>
      <c r="J96" s="371"/>
      <c r="K96" s="370"/>
      <c r="L96" s="369"/>
      <c r="M96" s="369"/>
      <c r="N96" s="369"/>
      <c r="O96" s="369"/>
      <c r="P96" s="369"/>
      <c r="Q96" s="369"/>
      <c r="R96" s="369"/>
      <c r="S96" s="369"/>
      <c r="T96" s="369"/>
      <c r="U96" s="369"/>
      <c r="V96" s="369"/>
      <c r="W96" s="369"/>
      <c r="X96" s="369"/>
      <c r="Y96" s="369"/>
      <c r="Z96" s="369"/>
    </row>
    <row r="97" spans="1:26" ht="14.25" customHeight="1">
      <c r="A97" s="369"/>
      <c r="B97" s="369"/>
      <c r="C97" s="369"/>
      <c r="D97" s="369"/>
      <c r="E97" s="369"/>
      <c r="F97" s="369"/>
      <c r="G97" s="369"/>
      <c r="H97" s="370"/>
      <c r="I97" s="371"/>
      <c r="J97" s="371"/>
      <c r="K97" s="370"/>
      <c r="L97" s="369"/>
      <c r="M97" s="369"/>
      <c r="N97" s="369"/>
      <c r="O97" s="369"/>
      <c r="P97" s="369"/>
      <c r="Q97" s="369"/>
      <c r="R97" s="369"/>
      <c r="S97" s="369"/>
      <c r="T97" s="369"/>
      <c r="U97" s="369"/>
      <c r="V97" s="369"/>
      <c r="W97" s="369"/>
      <c r="X97" s="369"/>
      <c r="Y97" s="369"/>
      <c r="Z97" s="369"/>
    </row>
    <row r="98" spans="1:26" ht="14.25" customHeight="1">
      <c r="A98" s="369"/>
      <c r="B98" s="369"/>
      <c r="C98" s="369"/>
      <c r="D98" s="369"/>
      <c r="E98" s="369"/>
      <c r="F98" s="369"/>
      <c r="G98" s="369"/>
      <c r="H98" s="370"/>
      <c r="I98" s="371"/>
      <c r="J98" s="371"/>
      <c r="K98" s="370"/>
      <c r="L98" s="369"/>
      <c r="M98" s="369"/>
      <c r="N98" s="369"/>
      <c r="O98" s="369"/>
      <c r="P98" s="369"/>
      <c r="Q98" s="369"/>
      <c r="R98" s="369"/>
      <c r="S98" s="369"/>
      <c r="T98" s="369"/>
      <c r="U98" s="369"/>
      <c r="V98" s="369"/>
      <c r="W98" s="369"/>
      <c r="X98" s="369"/>
      <c r="Y98" s="369"/>
      <c r="Z98" s="369"/>
    </row>
    <row r="99" spans="1:26" ht="14.25" customHeight="1">
      <c r="A99" s="369"/>
      <c r="B99" s="369"/>
      <c r="C99" s="369"/>
      <c r="D99" s="369"/>
      <c r="E99" s="369"/>
      <c r="F99" s="369"/>
      <c r="G99" s="369"/>
      <c r="H99" s="370"/>
      <c r="I99" s="371"/>
      <c r="J99" s="371"/>
      <c r="K99" s="370"/>
      <c r="L99" s="369"/>
      <c r="M99" s="369"/>
      <c r="N99" s="369"/>
      <c r="O99" s="369"/>
      <c r="P99" s="369"/>
      <c r="Q99" s="369"/>
      <c r="R99" s="369"/>
      <c r="S99" s="369"/>
      <c r="T99" s="369"/>
      <c r="U99" s="369"/>
      <c r="V99" s="369"/>
      <c r="W99" s="369"/>
      <c r="X99" s="369"/>
      <c r="Y99" s="369"/>
      <c r="Z99" s="369"/>
    </row>
    <row r="100" spans="1:26" ht="14.25" customHeight="1">
      <c r="A100" s="369"/>
      <c r="B100" s="369"/>
      <c r="C100" s="369"/>
      <c r="D100" s="369"/>
      <c r="E100" s="369"/>
      <c r="F100" s="369"/>
      <c r="G100" s="369"/>
      <c r="H100" s="370"/>
      <c r="I100" s="371"/>
      <c r="J100" s="371"/>
      <c r="K100" s="370"/>
      <c r="L100" s="369"/>
      <c r="M100" s="369"/>
      <c r="N100" s="369"/>
      <c r="O100" s="369"/>
      <c r="P100" s="369"/>
      <c r="Q100" s="369"/>
      <c r="R100" s="369"/>
      <c r="S100" s="369"/>
      <c r="T100" s="369"/>
      <c r="U100" s="369"/>
      <c r="V100" s="369"/>
      <c r="W100" s="369"/>
      <c r="X100" s="369"/>
      <c r="Y100" s="369"/>
      <c r="Z100" s="369"/>
    </row>
    <row r="101" spans="1:26" ht="14.25" customHeight="1">
      <c r="A101" s="369"/>
      <c r="B101" s="369"/>
      <c r="C101" s="369"/>
      <c r="D101" s="369"/>
      <c r="E101" s="369"/>
      <c r="F101" s="369"/>
      <c r="G101" s="369"/>
      <c r="H101" s="370"/>
      <c r="I101" s="371"/>
      <c r="J101" s="371"/>
      <c r="K101" s="370"/>
      <c r="L101" s="369"/>
      <c r="M101" s="369"/>
      <c r="N101" s="369"/>
      <c r="O101" s="369"/>
      <c r="P101" s="369"/>
      <c r="Q101" s="369"/>
      <c r="R101" s="369"/>
      <c r="S101" s="369"/>
      <c r="T101" s="369"/>
      <c r="U101" s="369"/>
      <c r="V101" s="369"/>
      <c r="W101" s="369"/>
      <c r="X101" s="369"/>
      <c r="Y101" s="369"/>
      <c r="Z101" s="369"/>
    </row>
    <row r="102" spans="1:26" ht="14.25" customHeight="1">
      <c r="A102" s="369"/>
      <c r="B102" s="369"/>
      <c r="C102" s="369"/>
      <c r="D102" s="369"/>
      <c r="E102" s="369"/>
      <c r="F102" s="369"/>
      <c r="G102" s="369"/>
      <c r="H102" s="370"/>
      <c r="I102" s="371"/>
      <c r="J102" s="371"/>
      <c r="K102" s="370"/>
      <c r="L102" s="369"/>
      <c r="M102" s="369"/>
      <c r="N102" s="369"/>
      <c r="O102" s="369"/>
      <c r="P102" s="369"/>
      <c r="Q102" s="369"/>
      <c r="R102" s="369"/>
      <c r="S102" s="369"/>
      <c r="T102" s="369"/>
      <c r="U102" s="369"/>
      <c r="V102" s="369"/>
      <c r="W102" s="369"/>
      <c r="X102" s="369"/>
      <c r="Y102" s="369"/>
      <c r="Z102" s="369"/>
    </row>
    <row r="103" spans="1:26" ht="14.25" customHeight="1">
      <c r="A103" s="369"/>
      <c r="B103" s="369"/>
      <c r="C103" s="369"/>
      <c r="D103" s="369"/>
      <c r="E103" s="369"/>
      <c r="F103" s="369"/>
      <c r="G103" s="369"/>
      <c r="H103" s="370"/>
      <c r="I103" s="371"/>
      <c r="J103" s="371"/>
      <c r="K103" s="370"/>
      <c r="L103" s="369"/>
      <c r="M103" s="369"/>
      <c r="N103" s="369"/>
      <c r="O103" s="369"/>
      <c r="P103" s="369"/>
      <c r="Q103" s="369"/>
      <c r="R103" s="369"/>
      <c r="S103" s="369"/>
      <c r="T103" s="369"/>
      <c r="U103" s="369"/>
      <c r="V103" s="369"/>
      <c r="W103" s="369"/>
      <c r="X103" s="369"/>
      <c r="Y103" s="369"/>
      <c r="Z103" s="369"/>
    </row>
    <row r="104" spans="1:26" ht="14.25" customHeight="1">
      <c r="A104" s="369"/>
      <c r="B104" s="369"/>
      <c r="C104" s="369"/>
      <c r="D104" s="369"/>
      <c r="E104" s="369"/>
      <c r="F104" s="369"/>
      <c r="G104" s="369"/>
      <c r="H104" s="370"/>
      <c r="I104" s="371"/>
      <c r="J104" s="371"/>
      <c r="K104" s="370"/>
      <c r="L104" s="369"/>
      <c r="M104" s="369"/>
      <c r="N104" s="369"/>
      <c r="O104" s="369"/>
      <c r="P104" s="369"/>
      <c r="Q104" s="369"/>
      <c r="R104" s="369"/>
      <c r="S104" s="369"/>
      <c r="T104" s="369"/>
      <c r="U104" s="369"/>
      <c r="V104" s="369"/>
      <c r="W104" s="369"/>
      <c r="X104" s="369"/>
      <c r="Y104" s="369"/>
      <c r="Z104" s="369"/>
    </row>
    <row r="105" spans="1:26" ht="14.25" customHeight="1">
      <c r="A105" s="369"/>
      <c r="B105" s="369"/>
      <c r="C105" s="369"/>
      <c r="D105" s="369"/>
      <c r="E105" s="369"/>
      <c r="F105" s="369"/>
      <c r="G105" s="369"/>
      <c r="H105" s="370"/>
      <c r="I105" s="371"/>
      <c r="J105" s="371"/>
      <c r="K105" s="370"/>
      <c r="L105" s="369"/>
      <c r="M105" s="369"/>
      <c r="N105" s="369"/>
      <c r="O105" s="369"/>
      <c r="P105" s="369"/>
      <c r="Q105" s="369"/>
      <c r="R105" s="369"/>
      <c r="S105" s="369"/>
      <c r="T105" s="369"/>
      <c r="U105" s="369"/>
      <c r="V105" s="369"/>
      <c r="W105" s="369"/>
      <c r="X105" s="369"/>
      <c r="Y105" s="369"/>
      <c r="Z105" s="369"/>
    </row>
    <row r="106" spans="1:26" ht="14.25" customHeight="1">
      <c r="A106" s="369"/>
      <c r="B106" s="369"/>
      <c r="C106" s="369"/>
      <c r="D106" s="369"/>
      <c r="E106" s="369"/>
      <c r="F106" s="369"/>
      <c r="G106" s="369"/>
      <c r="H106" s="370"/>
      <c r="I106" s="371"/>
      <c r="J106" s="371"/>
      <c r="K106" s="370"/>
      <c r="L106" s="369"/>
      <c r="M106" s="369"/>
      <c r="N106" s="369"/>
      <c r="O106" s="369"/>
      <c r="P106" s="369"/>
      <c r="Q106" s="369"/>
      <c r="R106" s="369"/>
      <c r="S106" s="369"/>
      <c r="T106" s="369"/>
      <c r="U106" s="369"/>
      <c r="V106" s="369"/>
      <c r="W106" s="369"/>
      <c r="X106" s="369"/>
      <c r="Y106" s="369"/>
      <c r="Z106" s="369"/>
    </row>
    <row r="107" spans="1:26" ht="14.25" customHeight="1">
      <c r="A107" s="369"/>
      <c r="B107" s="369"/>
      <c r="C107" s="369"/>
      <c r="D107" s="369"/>
      <c r="E107" s="369"/>
      <c r="F107" s="369"/>
      <c r="G107" s="369"/>
      <c r="H107" s="370"/>
      <c r="I107" s="371"/>
      <c r="J107" s="371"/>
      <c r="K107" s="370"/>
      <c r="L107" s="369"/>
      <c r="M107" s="369"/>
      <c r="N107" s="369"/>
      <c r="O107" s="369"/>
      <c r="P107" s="369"/>
      <c r="Q107" s="369"/>
      <c r="R107" s="369"/>
      <c r="S107" s="369"/>
      <c r="T107" s="369"/>
      <c r="U107" s="369"/>
      <c r="V107" s="369"/>
      <c r="W107" s="369"/>
      <c r="X107" s="369"/>
      <c r="Y107" s="369"/>
      <c r="Z107" s="369"/>
    </row>
    <row r="108" spans="1:26" ht="14.25" customHeight="1">
      <c r="A108" s="369"/>
      <c r="B108" s="369"/>
      <c r="C108" s="369"/>
      <c r="D108" s="369"/>
      <c r="E108" s="369"/>
      <c r="F108" s="369"/>
      <c r="G108" s="369"/>
      <c r="H108" s="370"/>
      <c r="I108" s="371"/>
      <c r="J108" s="371"/>
      <c r="K108" s="370"/>
      <c r="L108" s="369"/>
      <c r="M108" s="369"/>
      <c r="N108" s="369"/>
      <c r="O108" s="369"/>
      <c r="P108" s="369"/>
      <c r="Q108" s="369"/>
      <c r="R108" s="369"/>
      <c r="S108" s="369"/>
      <c r="T108" s="369"/>
      <c r="U108" s="369"/>
      <c r="V108" s="369"/>
      <c r="W108" s="369"/>
      <c r="X108" s="369"/>
      <c r="Y108" s="369"/>
      <c r="Z108" s="369"/>
    </row>
    <row r="109" spans="1:26" ht="14.25" customHeight="1">
      <c r="A109" s="369"/>
      <c r="B109" s="369"/>
      <c r="C109" s="369"/>
      <c r="D109" s="369"/>
      <c r="E109" s="369"/>
      <c r="F109" s="369"/>
      <c r="G109" s="369"/>
      <c r="H109" s="370"/>
      <c r="I109" s="371"/>
      <c r="J109" s="371"/>
      <c r="K109" s="370"/>
      <c r="L109" s="369"/>
      <c r="M109" s="369"/>
      <c r="N109" s="369"/>
      <c r="O109" s="369"/>
      <c r="P109" s="369"/>
      <c r="Q109" s="369"/>
      <c r="R109" s="369"/>
      <c r="S109" s="369"/>
      <c r="T109" s="369"/>
      <c r="U109" s="369"/>
      <c r="V109" s="369"/>
      <c r="W109" s="369"/>
      <c r="X109" s="369"/>
      <c r="Y109" s="369"/>
      <c r="Z109" s="369"/>
    </row>
    <row r="110" spans="1:26" ht="14.25" customHeight="1">
      <c r="A110" s="369"/>
      <c r="B110" s="369"/>
      <c r="C110" s="369"/>
      <c r="D110" s="369"/>
      <c r="E110" s="369"/>
      <c r="F110" s="369"/>
      <c r="G110" s="369"/>
      <c r="H110" s="370"/>
      <c r="I110" s="371"/>
      <c r="J110" s="371"/>
      <c r="K110" s="370"/>
      <c r="L110" s="369"/>
      <c r="M110" s="369"/>
      <c r="N110" s="369"/>
      <c r="O110" s="369"/>
      <c r="P110" s="369"/>
      <c r="Q110" s="369"/>
      <c r="R110" s="369"/>
      <c r="S110" s="369"/>
      <c r="T110" s="369"/>
      <c r="U110" s="369"/>
      <c r="V110" s="369"/>
      <c r="W110" s="369"/>
      <c r="X110" s="369"/>
      <c r="Y110" s="369"/>
      <c r="Z110" s="369"/>
    </row>
    <row r="111" spans="1:26" ht="14.25" customHeight="1">
      <c r="A111" s="369"/>
      <c r="B111" s="369"/>
      <c r="C111" s="369"/>
      <c r="D111" s="369"/>
      <c r="E111" s="369"/>
      <c r="F111" s="369"/>
      <c r="G111" s="369"/>
      <c r="H111" s="370"/>
      <c r="I111" s="371"/>
      <c r="J111" s="371"/>
      <c r="K111" s="370"/>
      <c r="L111" s="369"/>
      <c r="M111" s="369"/>
      <c r="N111" s="369"/>
      <c r="O111" s="369"/>
      <c r="P111" s="369"/>
      <c r="Q111" s="369"/>
      <c r="R111" s="369"/>
      <c r="S111" s="369"/>
      <c r="T111" s="369"/>
      <c r="U111" s="369"/>
      <c r="V111" s="369"/>
      <c r="W111" s="369"/>
      <c r="X111" s="369"/>
      <c r="Y111" s="369"/>
      <c r="Z111" s="369"/>
    </row>
    <row r="112" spans="1:26" ht="14.25" customHeight="1">
      <c r="A112" s="369"/>
      <c r="B112" s="369"/>
      <c r="C112" s="369"/>
      <c r="D112" s="369"/>
      <c r="E112" s="369"/>
      <c r="F112" s="369"/>
      <c r="G112" s="369"/>
      <c r="H112" s="370"/>
      <c r="I112" s="371"/>
      <c r="J112" s="371"/>
      <c r="K112" s="370"/>
      <c r="L112" s="369"/>
      <c r="M112" s="369"/>
      <c r="N112" s="369"/>
      <c r="O112" s="369"/>
      <c r="P112" s="369"/>
      <c r="Q112" s="369"/>
      <c r="R112" s="369"/>
      <c r="S112" s="369"/>
      <c r="T112" s="369"/>
      <c r="U112" s="369"/>
      <c r="V112" s="369"/>
      <c r="W112" s="369"/>
      <c r="X112" s="369"/>
      <c r="Y112" s="369"/>
      <c r="Z112" s="369"/>
    </row>
    <row r="113" spans="1:26" ht="14.25" customHeight="1">
      <c r="A113" s="369"/>
      <c r="B113" s="369"/>
      <c r="C113" s="369"/>
      <c r="D113" s="369"/>
      <c r="E113" s="369"/>
      <c r="F113" s="369"/>
      <c r="G113" s="369"/>
      <c r="H113" s="370"/>
      <c r="I113" s="371"/>
      <c r="J113" s="371"/>
      <c r="K113" s="370"/>
      <c r="L113" s="369"/>
      <c r="M113" s="369"/>
      <c r="N113" s="369"/>
      <c r="O113" s="369"/>
      <c r="P113" s="369"/>
      <c r="Q113" s="369"/>
      <c r="R113" s="369"/>
      <c r="S113" s="369"/>
      <c r="T113" s="369"/>
      <c r="U113" s="369"/>
      <c r="V113" s="369"/>
      <c r="W113" s="369"/>
      <c r="X113" s="369"/>
      <c r="Y113" s="369"/>
      <c r="Z113" s="369"/>
    </row>
    <row r="114" spans="1:26" ht="14.25" customHeight="1">
      <c r="A114" s="369"/>
      <c r="B114" s="369"/>
      <c r="C114" s="369"/>
      <c r="D114" s="369"/>
      <c r="E114" s="369"/>
      <c r="F114" s="369"/>
      <c r="G114" s="369"/>
      <c r="H114" s="370"/>
      <c r="I114" s="371"/>
      <c r="J114" s="371"/>
      <c r="K114" s="370"/>
      <c r="L114" s="369"/>
      <c r="M114" s="369"/>
      <c r="N114" s="369"/>
      <c r="O114" s="369"/>
      <c r="P114" s="369"/>
      <c r="Q114" s="369"/>
      <c r="R114" s="369"/>
      <c r="S114" s="369"/>
      <c r="T114" s="369"/>
      <c r="U114" s="369"/>
      <c r="V114" s="369"/>
      <c r="W114" s="369"/>
      <c r="X114" s="369"/>
      <c r="Y114" s="369"/>
      <c r="Z114" s="369"/>
    </row>
    <row r="115" spans="1:26" ht="14.25" customHeight="1">
      <c r="A115" s="369"/>
      <c r="B115" s="369"/>
      <c r="C115" s="369"/>
      <c r="D115" s="369"/>
      <c r="E115" s="369"/>
      <c r="F115" s="369"/>
      <c r="G115" s="369"/>
      <c r="H115" s="370"/>
      <c r="I115" s="371"/>
      <c r="J115" s="371"/>
      <c r="K115" s="370"/>
      <c r="L115" s="369"/>
      <c r="M115" s="369"/>
      <c r="N115" s="369"/>
      <c r="O115" s="369"/>
      <c r="P115" s="369"/>
      <c r="Q115" s="369"/>
      <c r="R115" s="369"/>
      <c r="S115" s="369"/>
      <c r="T115" s="369"/>
      <c r="U115" s="369"/>
      <c r="V115" s="369"/>
      <c r="W115" s="369"/>
      <c r="X115" s="369"/>
      <c r="Y115" s="369"/>
      <c r="Z115" s="369"/>
    </row>
    <row r="116" spans="1:26" ht="14.25" customHeight="1">
      <c r="A116" s="369"/>
      <c r="B116" s="369"/>
      <c r="C116" s="369"/>
      <c r="D116" s="369"/>
      <c r="E116" s="369"/>
      <c r="F116" s="369"/>
      <c r="G116" s="369"/>
      <c r="H116" s="370"/>
      <c r="I116" s="371"/>
      <c r="J116" s="371"/>
      <c r="K116" s="370"/>
      <c r="L116" s="369"/>
      <c r="M116" s="369"/>
      <c r="N116" s="369"/>
      <c r="O116" s="369"/>
      <c r="P116" s="369"/>
      <c r="Q116" s="369"/>
      <c r="R116" s="369"/>
      <c r="S116" s="369"/>
      <c r="T116" s="369"/>
      <c r="U116" s="369"/>
      <c r="V116" s="369"/>
      <c r="W116" s="369"/>
      <c r="X116" s="369"/>
      <c r="Y116" s="369"/>
      <c r="Z116" s="369"/>
    </row>
    <row r="117" spans="1:26" ht="14.25" customHeight="1">
      <c r="A117" s="369"/>
      <c r="B117" s="369"/>
      <c r="C117" s="369"/>
      <c r="D117" s="369"/>
      <c r="E117" s="369"/>
      <c r="F117" s="369"/>
      <c r="G117" s="369"/>
      <c r="H117" s="370"/>
      <c r="I117" s="371"/>
      <c r="J117" s="371"/>
      <c r="K117" s="370"/>
      <c r="L117" s="369"/>
      <c r="M117" s="369"/>
      <c r="N117" s="369"/>
      <c r="O117" s="369"/>
      <c r="P117" s="369"/>
      <c r="Q117" s="369"/>
      <c r="R117" s="369"/>
      <c r="S117" s="369"/>
      <c r="T117" s="369"/>
      <c r="U117" s="369"/>
      <c r="V117" s="369"/>
      <c r="W117" s="369"/>
      <c r="X117" s="369"/>
      <c r="Y117" s="369"/>
      <c r="Z117" s="369"/>
    </row>
    <row r="118" spans="1:26" ht="14.25" customHeight="1">
      <c r="A118" s="369"/>
      <c r="B118" s="369"/>
      <c r="C118" s="369"/>
      <c r="D118" s="369"/>
      <c r="E118" s="369"/>
      <c r="F118" s="369"/>
      <c r="G118" s="369"/>
      <c r="H118" s="370"/>
      <c r="I118" s="371"/>
      <c r="J118" s="371"/>
      <c r="K118" s="370"/>
      <c r="L118" s="369"/>
      <c r="M118" s="369"/>
      <c r="N118" s="369"/>
      <c r="O118" s="369"/>
      <c r="P118" s="369"/>
      <c r="Q118" s="369"/>
      <c r="R118" s="369"/>
      <c r="S118" s="369"/>
      <c r="T118" s="369"/>
      <c r="U118" s="369"/>
      <c r="V118" s="369"/>
      <c r="W118" s="369"/>
      <c r="X118" s="369"/>
      <c r="Y118" s="369"/>
      <c r="Z118" s="369"/>
    </row>
    <row r="119" spans="1:26" ht="14.25" customHeight="1">
      <c r="A119" s="369"/>
      <c r="B119" s="369"/>
      <c r="C119" s="369"/>
      <c r="D119" s="369"/>
      <c r="E119" s="369"/>
      <c r="F119" s="369"/>
      <c r="G119" s="369"/>
      <c r="H119" s="370"/>
      <c r="I119" s="371"/>
      <c r="J119" s="371"/>
      <c r="K119" s="370"/>
      <c r="L119" s="369"/>
      <c r="M119" s="369"/>
      <c r="N119" s="369"/>
      <c r="O119" s="369"/>
      <c r="P119" s="369"/>
      <c r="Q119" s="369"/>
      <c r="R119" s="369"/>
      <c r="S119" s="369"/>
      <c r="T119" s="369"/>
      <c r="U119" s="369"/>
      <c r="V119" s="369"/>
      <c r="W119" s="369"/>
      <c r="X119" s="369"/>
      <c r="Y119" s="369"/>
      <c r="Z119" s="369"/>
    </row>
    <row r="120" spans="1:26" ht="14.25" customHeight="1">
      <c r="A120" s="369"/>
      <c r="B120" s="369"/>
      <c r="C120" s="369"/>
      <c r="D120" s="369"/>
      <c r="E120" s="369"/>
      <c r="F120" s="369"/>
      <c r="G120" s="369"/>
      <c r="H120" s="370"/>
      <c r="I120" s="371"/>
      <c r="J120" s="371"/>
      <c r="K120" s="370"/>
      <c r="L120" s="369"/>
      <c r="M120" s="369"/>
      <c r="N120" s="369"/>
      <c r="O120" s="369"/>
      <c r="P120" s="369"/>
      <c r="Q120" s="369"/>
      <c r="R120" s="369"/>
      <c r="S120" s="369"/>
      <c r="T120" s="369"/>
      <c r="U120" s="369"/>
      <c r="V120" s="369"/>
      <c r="W120" s="369"/>
      <c r="X120" s="369"/>
      <c r="Y120" s="369"/>
      <c r="Z120" s="369"/>
    </row>
    <row r="121" spans="1:26" ht="14.25" customHeight="1">
      <c r="A121" s="369"/>
      <c r="B121" s="369"/>
      <c r="C121" s="369"/>
      <c r="D121" s="369"/>
      <c r="E121" s="369"/>
      <c r="F121" s="369"/>
      <c r="G121" s="369"/>
      <c r="H121" s="370"/>
      <c r="I121" s="371"/>
      <c r="J121" s="371"/>
      <c r="K121" s="370"/>
      <c r="L121" s="369"/>
      <c r="M121" s="369"/>
      <c r="N121" s="369"/>
      <c r="O121" s="369"/>
      <c r="P121" s="369"/>
      <c r="Q121" s="369"/>
      <c r="R121" s="369"/>
      <c r="S121" s="369"/>
      <c r="T121" s="369"/>
      <c r="U121" s="369"/>
      <c r="V121" s="369"/>
      <c r="W121" s="369"/>
      <c r="X121" s="369"/>
      <c r="Y121" s="369"/>
      <c r="Z121" s="369"/>
    </row>
    <row r="122" spans="1:26" ht="14.25" customHeight="1">
      <c r="A122" s="369"/>
      <c r="B122" s="369"/>
      <c r="C122" s="369"/>
      <c r="D122" s="369"/>
      <c r="E122" s="369"/>
      <c r="F122" s="369"/>
      <c r="G122" s="369"/>
      <c r="H122" s="370"/>
      <c r="I122" s="371"/>
      <c r="J122" s="371"/>
      <c r="K122" s="370"/>
      <c r="L122" s="369"/>
      <c r="M122" s="369"/>
      <c r="N122" s="369"/>
      <c r="O122" s="369"/>
      <c r="P122" s="369"/>
      <c r="Q122" s="369"/>
      <c r="R122" s="369"/>
      <c r="S122" s="369"/>
      <c r="T122" s="369"/>
      <c r="U122" s="369"/>
      <c r="V122" s="369"/>
      <c r="W122" s="369"/>
      <c r="X122" s="369"/>
      <c r="Y122" s="369"/>
      <c r="Z122" s="369"/>
    </row>
    <row r="123" spans="1:26" ht="14.25" customHeight="1">
      <c r="A123" s="369"/>
      <c r="B123" s="369"/>
      <c r="C123" s="369"/>
      <c r="D123" s="369"/>
      <c r="E123" s="369"/>
      <c r="F123" s="369"/>
      <c r="G123" s="369"/>
      <c r="H123" s="370"/>
      <c r="I123" s="371"/>
      <c r="J123" s="371"/>
      <c r="K123" s="370"/>
      <c r="L123" s="369"/>
      <c r="M123" s="369"/>
      <c r="N123" s="369"/>
      <c r="O123" s="369"/>
      <c r="P123" s="369"/>
      <c r="Q123" s="369"/>
      <c r="R123" s="369"/>
      <c r="S123" s="369"/>
      <c r="T123" s="369"/>
      <c r="U123" s="369"/>
      <c r="V123" s="369"/>
      <c r="W123" s="369"/>
      <c r="X123" s="369"/>
      <c r="Y123" s="369"/>
      <c r="Z123" s="369"/>
    </row>
    <row r="124" spans="1:26" ht="14.25" customHeight="1">
      <c r="A124" s="369"/>
      <c r="B124" s="369"/>
      <c r="C124" s="369"/>
      <c r="D124" s="369"/>
      <c r="E124" s="369"/>
      <c r="F124" s="369"/>
      <c r="G124" s="369"/>
      <c r="H124" s="370"/>
      <c r="I124" s="371"/>
      <c r="J124" s="371"/>
      <c r="K124" s="370"/>
      <c r="L124" s="369"/>
      <c r="M124" s="369"/>
      <c r="N124" s="369"/>
      <c r="O124" s="369"/>
      <c r="P124" s="369"/>
      <c r="Q124" s="369"/>
      <c r="R124" s="369"/>
      <c r="S124" s="369"/>
      <c r="T124" s="369"/>
      <c r="U124" s="369"/>
      <c r="V124" s="369"/>
      <c r="W124" s="369"/>
      <c r="X124" s="369"/>
      <c r="Y124" s="369"/>
      <c r="Z124" s="369"/>
    </row>
    <row r="125" spans="1:26" ht="14.25" customHeight="1">
      <c r="A125" s="369"/>
      <c r="B125" s="369"/>
      <c r="C125" s="369"/>
      <c r="D125" s="369"/>
      <c r="E125" s="369"/>
      <c r="F125" s="369"/>
      <c r="G125" s="369"/>
      <c r="H125" s="370"/>
      <c r="I125" s="371"/>
      <c r="J125" s="371"/>
      <c r="K125" s="370"/>
      <c r="L125" s="369"/>
      <c r="M125" s="369"/>
      <c r="N125" s="369"/>
      <c r="O125" s="369"/>
      <c r="P125" s="369"/>
      <c r="Q125" s="369"/>
      <c r="R125" s="369"/>
      <c r="S125" s="369"/>
      <c r="T125" s="369"/>
      <c r="U125" s="369"/>
      <c r="V125" s="369"/>
      <c r="W125" s="369"/>
      <c r="X125" s="369"/>
      <c r="Y125" s="369"/>
      <c r="Z125" s="369"/>
    </row>
    <row r="126" spans="1:26" ht="14.25" customHeight="1">
      <c r="A126" s="369"/>
      <c r="B126" s="369"/>
      <c r="C126" s="369"/>
      <c r="D126" s="369"/>
      <c r="E126" s="369"/>
      <c r="F126" s="369"/>
      <c r="G126" s="369"/>
      <c r="H126" s="370"/>
      <c r="I126" s="371"/>
      <c r="J126" s="371"/>
      <c r="K126" s="370"/>
      <c r="L126" s="369"/>
      <c r="M126" s="369"/>
      <c r="N126" s="369"/>
      <c r="O126" s="369"/>
      <c r="P126" s="369"/>
      <c r="Q126" s="369"/>
      <c r="R126" s="369"/>
      <c r="S126" s="369"/>
      <c r="T126" s="369"/>
      <c r="U126" s="369"/>
      <c r="V126" s="369"/>
      <c r="W126" s="369"/>
      <c r="X126" s="369"/>
      <c r="Y126" s="369"/>
      <c r="Z126" s="369"/>
    </row>
    <row r="127" spans="1:26" ht="14.25" customHeight="1">
      <c r="A127" s="369"/>
      <c r="B127" s="369"/>
      <c r="C127" s="369"/>
      <c r="D127" s="369"/>
      <c r="E127" s="369"/>
      <c r="F127" s="369"/>
      <c r="G127" s="369"/>
      <c r="H127" s="370"/>
      <c r="I127" s="371"/>
      <c r="J127" s="371"/>
      <c r="K127" s="370"/>
      <c r="L127" s="369"/>
      <c r="M127" s="369"/>
      <c r="N127" s="369"/>
      <c r="O127" s="369"/>
      <c r="P127" s="369"/>
      <c r="Q127" s="369"/>
      <c r="R127" s="369"/>
      <c r="S127" s="369"/>
      <c r="T127" s="369"/>
      <c r="U127" s="369"/>
      <c r="V127" s="369"/>
      <c r="W127" s="369"/>
      <c r="X127" s="369"/>
      <c r="Y127" s="369"/>
      <c r="Z127" s="369"/>
    </row>
    <row r="128" spans="1:26" ht="14.25" customHeight="1">
      <c r="A128" s="369"/>
      <c r="B128" s="369"/>
      <c r="C128" s="369"/>
      <c r="D128" s="369"/>
      <c r="E128" s="369"/>
      <c r="F128" s="369"/>
      <c r="G128" s="369"/>
      <c r="H128" s="370"/>
      <c r="I128" s="371"/>
      <c r="J128" s="371"/>
      <c r="K128" s="370"/>
      <c r="L128" s="369"/>
      <c r="M128" s="369"/>
      <c r="N128" s="369"/>
      <c r="O128" s="369"/>
      <c r="P128" s="369"/>
      <c r="Q128" s="369"/>
      <c r="R128" s="369"/>
      <c r="S128" s="369"/>
      <c r="T128" s="369"/>
      <c r="U128" s="369"/>
      <c r="V128" s="369"/>
      <c r="W128" s="369"/>
      <c r="X128" s="369"/>
      <c r="Y128" s="369"/>
      <c r="Z128" s="369"/>
    </row>
    <row r="129" spans="1:26" ht="14.25" customHeight="1">
      <c r="A129" s="369"/>
      <c r="B129" s="369"/>
      <c r="C129" s="369"/>
      <c r="D129" s="369"/>
      <c r="E129" s="369"/>
      <c r="F129" s="369"/>
      <c r="G129" s="369"/>
      <c r="H129" s="370"/>
      <c r="I129" s="371"/>
      <c r="J129" s="371"/>
      <c r="K129" s="370"/>
      <c r="L129" s="369"/>
      <c r="M129" s="369"/>
      <c r="N129" s="369"/>
      <c r="O129" s="369"/>
      <c r="P129" s="369"/>
      <c r="Q129" s="369"/>
      <c r="R129" s="369"/>
      <c r="S129" s="369"/>
      <c r="T129" s="369"/>
      <c r="U129" s="369"/>
      <c r="V129" s="369"/>
      <c r="W129" s="369"/>
      <c r="X129" s="369"/>
      <c r="Y129" s="369"/>
      <c r="Z129" s="369"/>
    </row>
    <row r="130" spans="1:26" ht="14.25" customHeight="1">
      <c r="A130" s="369"/>
      <c r="B130" s="369"/>
      <c r="C130" s="369"/>
      <c r="D130" s="369"/>
      <c r="E130" s="369"/>
      <c r="F130" s="369"/>
      <c r="G130" s="369"/>
      <c r="H130" s="370"/>
      <c r="I130" s="371"/>
      <c r="J130" s="371"/>
      <c r="K130" s="370"/>
      <c r="L130" s="369"/>
      <c r="M130" s="369"/>
      <c r="N130" s="369"/>
      <c r="O130" s="369"/>
      <c r="P130" s="369"/>
      <c r="Q130" s="369"/>
      <c r="R130" s="369"/>
      <c r="S130" s="369"/>
      <c r="T130" s="369"/>
      <c r="U130" s="369"/>
      <c r="V130" s="369"/>
      <c r="W130" s="369"/>
      <c r="X130" s="369"/>
      <c r="Y130" s="369"/>
      <c r="Z130" s="369"/>
    </row>
    <row r="131" spans="1:26" ht="14.25" customHeight="1">
      <c r="A131" s="369"/>
      <c r="B131" s="369"/>
      <c r="C131" s="369"/>
      <c r="D131" s="369"/>
      <c r="E131" s="369"/>
      <c r="F131" s="369"/>
      <c r="G131" s="369"/>
      <c r="H131" s="370"/>
      <c r="I131" s="371"/>
      <c r="J131" s="371"/>
      <c r="K131" s="370"/>
      <c r="L131" s="369"/>
      <c r="M131" s="369"/>
      <c r="N131" s="369"/>
      <c r="O131" s="369"/>
      <c r="P131" s="369"/>
      <c r="Q131" s="369"/>
      <c r="R131" s="369"/>
      <c r="S131" s="369"/>
      <c r="T131" s="369"/>
      <c r="U131" s="369"/>
      <c r="V131" s="369"/>
      <c r="W131" s="369"/>
      <c r="X131" s="369"/>
      <c r="Y131" s="369"/>
      <c r="Z131" s="369"/>
    </row>
    <row r="132" spans="1:26" ht="14.25" customHeight="1">
      <c r="A132" s="369"/>
      <c r="B132" s="369"/>
      <c r="C132" s="369"/>
      <c r="D132" s="369"/>
      <c r="E132" s="369"/>
      <c r="F132" s="369"/>
      <c r="G132" s="369"/>
      <c r="H132" s="370"/>
      <c r="I132" s="371"/>
      <c r="J132" s="371"/>
      <c r="K132" s="370"/>
      <c r="L132" s="369"/>
      <c r="M132" s="369"/>
      <c r="N132" s="369"/>
      <c r="O132" s="369"/>
      <c r="P132" s="369"/>
      <c r="Q132" s="369"/>
      <c r="R132" s="369"/>
      <c r="S132" s="369"/>
      <c r="T132" s="369"/>
      <c r="U132" s="369"/>
      <c r="V132" s="369"/>
      <c r="W132" s="369"/>
      <c r="X132" s="369"/>
      <c r="Y132" s="369"/>
      <c r="Z132" s="369"/>
    </row>
    <row r="133" spans="1:26" ht="14.25" customHeight="1">
      <c r="A133" s="369"/>
      <c r="B133" s="369"/>
      <c r="C133" s="369"/>
      <c r="D133" s="369"/>
      <c r="E133" s="369"/>
      <c r="F133" s="369"/>
      <c r="G133" s="369"/>
      <c r="H133" s="370"/>
      <c r="I133" s="371"/>
      <c r="J133" s="371"/>
      <c r="K133" s="370"/>
      <c r="L133" s="369"/>
      <c r="M133" s="369"/>
      <c r="N133" s="369"/>
      <c r="O133" s="369"/>
      <c r="P133" s="369"/>
      <c r="Q133" s="369"/>
      <c r="R133" s="369"/>
      <c r="S133" s="369"/>
      <c r="T133" s="369"/>
      <c r="U133" s="369"/>
      <c r="V133" s="369"/>
      <c r="W133" s="369"/>
      <c r="X133" s="369"/>
      <c r="Y133" s="369"/>
      <c r="Z133" s="369"/>
    </row>
    <row r="134" spans="1:26" ht="14.25" customHeight="1">
      <c r="A134" s="369"/>
      <c r="B134" s="369"/>
      <c r="C134" s="369"/>
      <c r="D134" s="369"/>
      <c r="E134" s="369"/>
      <c r="F134" s="369"/>
      <c r="G134" s="369"/>
      <c r="H134" s="370"/>
      <c r="I134" s="371"/>
      <c r="J134" s="371"/>
      <c r="K134" s="370"/>
      <c r="L134" s="369"/>
      <c r="M134" s="369"/>
      <c r="N134" s="369"/>
      <c r="O134" s="369"/>
      <c r="P134" s="369"/>
      <c r="Q134" s="369"/>
      <c r="R134" s="369"/>
      <c r="S134" s="369"/>
      <c r="T134" s="369"/>
      <c r="U134" s="369"/>
      <c r="V134" s="369"/>
      <c r="W134" s="369"/>
      <c r="X134" s="369"/>
      <c r="Y134" s="369"/>
      <c r="Z134" s="369"/>
    </row>
    <row r="135" spans="1:26" ht="14.25" customHeight="1">
      <c r="A135" s="369"/>
      <c r="B135" s="369"/>
      <c r="C135" s="369"/>
      <c r="D135" s="369"/>
      <c r="E135" s="369"/>
      <c r="F135" s="369"/>
      <c r="G135" s="369"/>
      <c r="H135" s="370"/>
      <c r="I135" s="371"/>
      <c r="J135" s="371"/>
      <c r="K135" s="370"/>
      <c r="L135" s="369"/>
      <c r="M135" s="369"/>
      <c r="N135" s="369"/>
      <c r="O135" s="369"/>
      <c r="P135" s="369"/>
      <c r="Q135" s="369"/>
      <c r="R135" s="369"/>
      <c r="S135" s="369"/>
      <c r="T135" s="369"/>
      <c r="U135" s="369"/>
      <c r="V135" s="369"/>
      <c r="W135" s="369"/>
      <c r="X135" s="369"/>
      <c r="Y135" s="369"/>
      <c r="Z135" s="369"/>
    </row>
    <row r="136" spans="1:26" ht="14.25" customHeight="1">
      <c r="A136" s="369"/>
      <c r="B136" s="369"/>
      <c r="C136" s="369"/>
      <c r="D136" s="369"/>
      <c r="E136" s="369"/>
      <c r="F136" s="369"/>
      <c r="G136" s="369"/>
      <c r="H136" s="370"/>
      <c r="I136" s="371"/>
      <c r="J136" s="371"/>
      <c r="K136" s="370"/>
      <c r="L136" s="369"/>
      <c r="M136" s="369"/>
      <c r="N136" s="369"/>
      <c r="O136" s="369"/>
      <c r="P136" s="369"/>
      <c r="Q136" s="369"/>
      <c r="R136" s="369"/>
      <c r="S136" s="369"/>
      <c r="T136" s="369"/>
      <c r="U136" s="369"/>
      <c r="V136" s="369"/>
      <c r="W136" s="369"/>
      <c r="X136" s="369"/>
      <c r="Y136" s="369"/>
      <c r="Z136" s="369"/>
    </row>
    <row r="137" spans="1:26" ht="14.25" customHeight="1">
      <c r="A137" s="369"/>
      <c r="B137" s="369"/>
      <c r="C137" s="369"/>
      <c r="D137" s="369"/>
      <c r="E137" s="369"/>
      <c r="F137" s="369"/>
      <c r="G137" s="369"/>
      <c r="H137" s="370"/>
      <c r="I137" s="371"/>
      <c r="J137" s="371"/>
      <c r="K137" s="370"/>
      <c r="L137" s="369"/>
      <c r="M137" s="369"/>
      <c r="N137" s="369"/>
      <c r="O137" s="369"/>
      <c r="P137" s="369"/>
      <c r="Q137" s="369"/>
      <c r="R137" s="369"/>
      <c r="S137" s="369"/>
      <c r="T137" s="369"/>
      <c r="U137" s="369"/>
      <c r="V137" s="369"/>
      <c r="W137" s="369"/>
      <c r="X137" s="369"/>
      <c r="Y137" s="369"/>
      <c r="Z137" s="369"/>
    </row>
    <row r="138" spans="1:26" ht="14.25" customHeight="1">
      <c r="A138" s="369"/>
      <c r="B138" s="369"/>
      <c r="C138" s="369"/>
      <c r="D138" s="369"/>
      <c r="E138" s="369"/>
      <c r="F138" s="369"/>
      <c r="G138" s="369"/>
      <c r="H138" s="370"/>
      <c r="I138" s="371"/>
      <c r="J138" s="371"/>
      <c r="K138" s="370"/>
      <c r="L138" s="369"/>
      <c r="M138" s="369"/>
      <c r="N138" s="369"/>
      <c r="O138" s="369"/>
      <c r="P138" s="369"/>
      <c r="Q138" s="369"/>
      <c r="R138" s="369"/>
      <c r="S138" s="369"/>
      <c r="T138" s="369"/>
      <c r="U138" s="369"/>
      <c r="V138" s="369"/>
      <c r="W138" s="369"/>
      <c r="X138" s="369"/>
      <c r="Y138" s="369"/>
      <c r="Z138" s="369"/>
    </row>
    <row r="139" spans="1:26" ht="14.25" customHeight="1">
      <c r="A139" s="369"/>
      <c r="B139" s="369"/>
      <c r="C139" s="369"/>
      <c r="D139" s="369"/>
      <c r="E139" s="369"/>
      <c r="F139" s="369"/>
      <c r="G139" s="369"/>
      <c r="H139" s="370"/>
      <c r="I139" s="371"/>
      <c r="J139" s="371"/>
      <c r="K139" s="370"/>
      <c r="L139" s="369"/>
      <c r="M139" s="369"/>
      <c r="N139" s="369"/>
      <c r="O139" s="369"/>
      <c r="P139" s="369"/>
      <c r="Q139" s="369"/>
      <c r="R139" s="369"/>
      <c r="S139" s="369"/>
      <c r="T139" s="369"/>
      <c r="U139" s="369"/>
      <c r="V139" s="369"/>
      <c r="W139" s="369"/>
      <c r="X139" s="369"/>
      <c r="Y139" s="369"/>
      <c r="Z139" s="369"/>
    </row>
    <row r="140" spans="1:26" ht="14.25" customHeight="1">
      <c r="A140" s="369"/>
      <c r="B140" s="369"/>
      <c r="C140" s="369"/>
      <c r="D140" s="369"/>
      <c r="E140" s="369"/>
      <c r="F140" s="369"/>
      <c r="G140" s="369"/>
      <c r="H140" s="370"/>
      <c r="I140" s="371"/>
      <c r="J140" s="371"/>
      <c r="K140" s="370"/>
      <c r="L140" s="369"/>
      <c r="M140" s="369"/>
      <c r="N140" s="369"/>
      <c r="O140" s="369"/>
      <c r="P140" s="369"/>
      <c r="Q140" s="369"/>
      <c r="R140" s="369"/>
      <c r="S140" s="369"/>
      <c r="T140" s="369"/>
      <c r="U140" s="369"/>
      <c r="V140" s="369"/>
      <c r="W140" s="369"/>
      <c r="X140" s="369"/>
      <c r="Y140" s="369"/>
      <c r="Z140" s="369"/>
    </row>
    <row r="141" spans="1:26" ht="14.25" customHeight="1">
      <c r="A141" s="369"/>
      <c r="B141" s="369"/>
      <c r="C141" s="369"/>
      <c r="D141" s="369"/>
      <c r="E141" s="369"/>
      <c r="F141" s="369"/>
      <c r="G141" s="369"/>
      <c r="H141" s="370"/>
      <c r="I141" s="371"/>
      <c r="J141" s="371"/>
      <c r="K141" s="370"/>
      <c r="L141" s="369"/>
      <c r="M141" s="369"/>
      <c r="N141" s="369"/>
      <c r="O141" s="369"/>
      <c r="P141" s="369"/>
      <c r="Q141" s="369"/>
      <c r="R141" s="369"/>
      <c r="S141" s="369"/>
      <c r="T141" s="369"/>
      <c r="U141" s="369"/>
      <c r="V141" s="369"/>
      <c r="W141" s="369"/>
      <c r="X141" s="369"/>
      <c r="Y141" s="369"/>
      <c r="Z141" s="369"/>
    </row>
    <row r="142" spans="1:26" ht="14.25" customHeight="1">
      <c r="A142" s="369"/>
      <c r="B142" s="369"/>
      <c r="C142" s="369"/>
      <c r="D142" s="369"/>
      <c r="E142" s="369"/>
      <c r="F142" s="369"/>
      <c r="G142" s="369"/>
      <c r="H142" s="370"/>
      <c r="I142" s="371"/>
      <c r="J142" s="371"/>
      <c r="K142" s="370"/>
      <c r="L142" s="369"/>
      <c r="M142" s="369"/>
      <c r="N142" s="369"/>
      <c r="O142" s="369"/>
      <c r="P142" s="369"/>
      <c r="Q142" s="369"/>
      <c r="R142" s="369"/>
      <c r="S142" s="369"/>
      <c r="T142" s="369"/>
      <c r="U142" s="369"/>
      <c r="V142" s="369"/>
      <c r="W142" s="369"/>
      <c r="X142" s="369"/>
      <c r="Y142" s="369"/>
      <c r="Z142" s="369"/>
    </row>
    <row r="143" spans="1:26" ht="14.25" customHeight="1">
      <c r="A143" s="369"/>
      <c r="B143" s="369"/>
      <c r="C143" s="369"/>
      <c r="D143" s="369"/>
      <c r="E143" s="369"/>
      <c r="F143" s="369"/>
      <c r="G143" s="369"/>
      <c r="H143" s="370"/>
      <c r="I143" s="371"/>
      <c r="J143" s="371"/>
      <c r="K143" s="370"/>
      <c r="L143" s="369"/>
      <c r="M143" s="369"/>
      <c r="N143" s="369"/>
      <c r="O143" s="369"/>
      <c r="P143" s="369"/>
      <c r="Q143" s="369"/>
      <c r="R143" s="369"/>
      <c r="S143" s="369"/>
      <c r="T143" s="369"/>
      <c r="U143" s="369"/>
      <c r="V143" s="369"/>
      <c r="W143" s="369"/>
      <c r="X143" s="369"/>
      <c r="Y143" s="369"/>
      <c r="Z143" s="369"/>
    </row>
    <row r="144" spans="1:26" ht="14.25" customHeight="1">
      <c r="A144" s="369"/>
      <c r="B144" s="369"/>
      <c r="C144" s="369"/>
      <c r="D144" s="369"/>
      <c r="E144" s="369"/>
      <c r="F144" s="369"/>
      <c r="G144" s="369"/>
      <c r="H144" s="370"/>
      <c r="I144" s="371"/>
      <c r="J144" s="371"/>
      <c r="K144" s="370"/>
      <c r="L144" s="369"/>
      <c r="M144" s="369"/>
      <c r="N144" s="369"/>
      <c r="O144" s="369"/>
      <c r="P144" s="369"/>
      <c r="Q144" s="369"/>
      <c r="R144" s="369"/>
      <c r="S144" s="369"/>
      <c r="T144" s="369"/>
      <c r="U144" s="369"/>
      <c r="V144" s="369"/>
      <c r="W144" s="369"/>
      <c r="X144" s="369"/>
      <c r="Y144" s="369"/>
      <c r="Z144" s="369"/>
    </row>
    <row r="145" spans="1:26" ht="14.25" customHeight="1">
      <c r="A145" s="369"/>
      <c r="B145" s="369"/>
      <c r="C145" s="369"/>
      <c r="D145" s="369"/>
      <c r="E145" s="369"/>
      <c r="F145" s="369"/>
      <c r="G145" s="369"/>
      <c r="H145" s="370"/>
      <c r="I145" s="371"/>
      <c r="J145" s="371"/>
      <c r="K145" s="370"/>
      <c r="L145" s="369"/>
      <c r="M145" s="369"/>
      <c r="N145" s="369"/>
      <c r="O145" s="369"/>
      <c r="P145" s="369"/>
      <c r="Q145" s="369"/>
      <c r="R145" s="369"/>
      <c r="S145" s="369"/>
      <c r="T145" s="369"/>
      <c r="U145" s="369"/>
      <c r="V145" s="369"/>
      <c r="W145" s="369"/>
      <c r="X145" s="369"/>
      <c r="Y145" s="369"/>
      <c r="Z145" s="369"/>
    </row>
    <row r="146" spans="1:26" ht="14.25" customHeight="1">
      <c r="A146" s="369"/>
      <c r="B146" s="369"/>
      <c r="C146" s="369"/>
      <c r="D146" s="369"/>
      <c r="E146" s="369"/>
      <c r="F146" s="369"/>
      <c r="G146" s="369"/>
      <c r="H146" s="370"/>
      <c r="I146" s="371"/>
      <c r="J146" s="371"/>
      <c r="K146" s="370"/>
      <c r="L146" s="369"/>
      <c r="M146" s="369"/>
      <c r="N146" s="369"/>
      <c r="O146" s="369"/>
      <c r="P146" s="369"/>
      <c r="Q146" s="369"/>
      <c r="R146" s="369"/>
      <c r="S146" s="369"/>
      <c r="T146" s="369"/>
      <c r="U146" s="369"/>
      <c r="V146" s="369"/>
      <c r="W146" s="369"/>
      <c r="X146" s="369"/>
      <c r="Y146" s="369"/>
      <c r="Z146" s="369"/>
    </row>
    <row r="147" spans="1:26" ht="14.25" customHeight="1">
      <c r="A147" s="369"/>
      <c r="B147" s="369"/>
      <c r="C147" s="369"/>
      <c r="D147" s="369"/>
      <c r="E147" s="369"/>
      <c r="F147" s="369"/>
      <c r="G147" s="369"/>
      <c r="H147" s="370"/>
      <c r="I147" s="371"/>
      <c r="J147" s="371"/>
      <c r="K147" s="370"/>
      <c r="L147" s="369"/>
      <c r="M147" s="369"/>
      <c r="N147" s="369"/>
      <c r="O147" s="369"/>
      <c r="P147" s="369"/>
      <c r="Q147" s="369"/>
      <c r="R147" s="369"/>
      <c r="S147" s="369"/>
      <c r="T147" s="369"/>
      <c r="U147" s="369"/>
      <c r="V147" s="369"/>
      <c r="W147" s="369"/>
      <c r="X147" s="369"/>
      <c r="Y147" s="369"/>
      <c r="Z147" s="369"/>
    </row>
    <row r="148" spans="1:26" ht="14.25" customHeight="1">
      <c r="A148" s="369"/>
      <c r="B148" s="369"/>
      <c r="C148" s="369"/>
      <c r="D148" s="369"/>
      <c r="E148" s="369"/>
      <c r="F148" s="369"/>
      <c r="G148" s="369"/>
      <c r="H148" s="370"/>
      <c r="I148" s="371"/>
      <c r="J148" s="371"/>
      <c r="K148" s="370"/>
      <c r="L148" s="369"/>
      <c r="M148" s="369"/>
      <c r="N148" s="369"/>
      <c r="O148" s="369"/>
      <c r="P148" s="369"/>
      <c r="Q148" s="369"/>
      <c r="R148" s="369"/>
      <c r="S148" s="369"/>
      <c r="T148" s="369"/>
      <c r="U148" s="369"/>
      <c r="V148" s="369"/>
      <c r="W148" s="369"/>
      <c r="X148" s="369"/>
      <c r="Y148" s="369"/>
      <c r="Z148" s="369"/>
    </row>
    <row r="149" spans="1:26" ht="14.25" customHeight="1">
      <c r="A149" s="369"/>
      <c r="B149" s="369"/>
      <c r="C149" s="369"/>
      <c r="D149" s="369"/>
      <c r="E149" s="369"/>
      <c r="F149" s="369"/>
      <c r="G149" s="369"/>
      <c r="H149" s="370"/>
      <c r="I149" s="371"/>
      <c r="J149" s="371"/>
      <c r="K149" s="370"/>
      <c r="L149" s="369"/>
      <c r="M149" s="369"/>
      <c r="N149" s="369"/>
      <c r="O149" s="369"/>
      <c r="P149" s="369"/>
      <c r="Q149" s="369"/>
      <c r="R149" s="369"/>
      <c r="S149" s="369"/>
      <c r="T149" s="369"/>
      <c r="U149" s="369"/>
      <c r="V149" s="369"/>
      <c r="W149" s="369"/>
      <c r="X149" s="369"/>
      <c r="Y149" s="369"/>
      <c r="Z149" s="369"/>
    </row>
    <row r="150" spans="1:26" ht="14.25" customHeight="1">
      <c r="A150" s="369"/>
      <c r="B150" s="369"/>
      <c r="C150" s="369"/>
      <c r="D150" s="369"/>
      <c r="E150" s="369"/>
      <c r="F150" s="369"/>
      <c r="G150" s="369"/>
      <c r="H150" s="370"/>
      <c r="I150" s="371"/>
      <c r="J150" s="371"/>
      <c r="K150" s="370"/>
      <c r="L150" s="369"/>
      <c r="M150" s="369"/>
      <c r="N150" s="369"/>
      <c r="O150" s="369"/>
      <c r="P150" s="369"/>
      <c r="Q150" s="369"/>
      <c r="R150" s="369"/>
      <c r="S150" s="369"/>
      <c r="T150" s="369"/>
      <c r="U150" s="369"/>
      <c r="V150" s="369"/>
      <c r="W150" s="369"/>
      <c r="X150" s="369"/>
      <c r="Y150" s="369"/>
      <c r="Z150" s="369"/>
    </row>
    <row r="151" spans="1:26" ht="14.25" customHeight="1">
      <c r="A151" s="369"/>
      <c r="B151" s="369"/>
      <c r="C151" s="369"/>
      <c r="D151" s="369"/>
      <c r="E151" s="369"/>
      <c r="F151" s="369"/>
      <c r="G151" s="369"/>
      <c r="H151" s="370"/>
      <c r="I151" s="371"/>
      <c r="J151" s="371"/>
      <c r="K151" s="370"/>
      <c r="L151" s="369"/>
      <c r="M151" s="369"/>
      <c r="N151" s="369"/>
      <c r="O151" s="369"/>
      <c r="P151" s="369"/>
      <c r="Q151" s="369"/>
      <c r="R151" s="369"/>
      <c r="S151" s="369"/>
      <c r="T151" s="369"/>
      <c r="U151" s="369"/>
      <c r="V151" s="369"/>
      <c r="W151" s="369"/>
      <c r="X151" s="369"/>
      <c r="Y151" s="369"/>
      <c r="Z151" s="369"/>
    </row>
    <row r="152" spans="1:26" ht="14.25" customHeight="1">
      <c r="A152" s="369"/>
      <c r="B152" s="369"/>
      <c r="C152" s="369"/>
      <c r="D152" s="369"/>
      <c r="E152" s="369"/>
      <c r="F152" s="369"/>
      <c r="G152" s="369"/>
      <c r="H152" s="370"/>
      <c r="I152" s="371"/>
      <c r="J152" s="371"/>
      <c r="K152" s="370"/>
      <c r="L152" s="369"/>
      <c r="M152" s="369"/>
      <c r="N152" s="369"/>
      <c r="O152" s="369"/>
      <c r="P152" s="369"/>
      <c r="Q152" s="369"/>
      <c r="R152" s="369"/>
      <c r="S152" s="369"/>
      <c r="T152" s="369"/>
      <c r="U152" s="369"/>
      <c r="V152" s="369"/>
      <c r="W152" s="369"/>
      <c r="X152" s="369"/>
      <c r="Y152" s="369"/>
      <c r="Z152" s="369"/>
    </row>
    <row r="153" spans="1:26" ht="14.25" customHeight="1">
      <c r="A153" s="369"/>
      <c r="B153" s="369"/>
      <c r="C153" s="369"/>
      <c r="D153" s="369"/>
      <c r="E153" s="369"/>
      <c r="F153" s="369"/>
      <c r="G153" s="369"/>
      <c r="H153" s="370"/>
      <c r="I153" s="371"/>
      <c r="J153" s="371"/>
      <c r="K153" s="370"/>
      <c r="L153" s="369"/>
      <c r="M153" s="369"/>
      <c r="N153" s="369"/>
      <c r="O153" s="369"/>
      <c r="P153" s="369"/>
      <c r="Q153" s="369"/>
      <c r="R153" s="369"/>
      <c r="S153" s="369"/>
      <c r="T153" s="369"/>
      <c r="U153" s="369"/>
      <c r="V153" s="369"/>
      <c r="W153" s="369"/>
      <c r="X153" s="369"/>
      <c r="Y153" s="369"/>
      <c r="Z153" s="369"/>
    </row>
    <row r="154" spans="1:26" ht="14.25" customHeight="1">
      <c r="A154" s="369"/>
      <c r="B154" s="369"/>
      <c r="C154" s="369"/>
      <c r="D154" s="369"/>
      <c r="E154" s="369"/>
      <c r="F154" s="369"/>
      <c r="G154" s="369"/>
      <c r="H154" s="370"/>
      <c r="I154" s="371"/>
      <c r="J154" s="371"/>
      <c r="K154" s="370"/>
      <c r="L154" s="369"/>
      <c r="M154" s="369"/>
      <c r="N154" s="369"/>
      <c r="O154" s="369"/>
      <c r="P154" s="369"/>
      <c r="Q154" s="369"/>
      <c r="R154" s="369"/>
      <c r="S154" s="369"/>
      <c r="T154" s="369"/>
      <c r="U154" s="369"/>
      <c r="V154" s="369"/>
      <c r="W154" s="369"/>
      <c r="X154" s="369"/>
      <c r="Y154" s="369"/>
      <c r="Z154" s="369"/>
    </row>
    <row r="155" spans="1:26" ht="14.25" customHeight="1">
      <c r="A155" s="369"/>
      <c r="B155" s="369"/>
      <c r="C155" s="369"/>
      <c r="D155" s="369"/>
      <c r="E155" s="369"/>
      <c r="F155" s="369"/>
      <c r="G155" s="369"/>
      <c r="H155" s="370"/>
      <c r="I155" s="371"/>
      <c r="J155" s="371"/>
      <c r="K155" s="370"/>
      <c r="L155" s="369"/>
      <c r="M155" s="369"/>
      <c r="N155" s="369"/>
      <c r="O155" s="369"/>
      <c r="P155" s="369"/>
      <c r="Q155" s="369"/>
      <c r="R155" s="369"/>
      <c r="S155" s="369"/>
      <c r="T155" s="369"/>
      <c r="U155" s="369"/>
      <c r="V155" s="369"/>
      <c r="W155" s="369"/>
      <c r="X155" s="369"/>
      <c r="Y155" s="369"/>
      <c r="Z155" s="369"/>
    </row>
    <row r="156" spans="1:26" ht="14.25" customHeight="1">
      <c r="A156" s="369"/>
      <c r="B156" s="369"/>
      <c r="C156" s="369"/>
      <c r="D156" s="369"/>
      <c r="E156" s="369"/>
      <c r="F156" s="369"/>
      <c r="G156" s="369"/>
      <c r="H156" s="370"/>
      <c r="I156" s="371"/>
      <c r="J156" s="371"/>
      <c r="K156" s="370"/>
      <c r="L156" s="369"/>
      <c r="M156" s="369"/>
      <c r="N156" s="369"/>
      <c r="O156" s="369"/>
      <c r="P156" s="369"/>
      <c r="Q156" s="369"/>
      <c r="R156" s="369"/>
      <c r="S156" s="369"/>
      <c r="T156" s="369"/>
      <c r="U156" s="369"/>
      <c r="V156" s="369"/>
      <c r="W156" s="369"/>
      <c r="X156" s="369"/>
      <c r="Y156" s="369"/>
      <c r="Z156" s="369"/>
    </row>
    <row r="157" spans="1:26" ht="14.25" customHeight="1">
      <c r="A157" s="369"/>
      <c r="B157" s="369"/>
      <c r="C157" s="369"/>
      <c r="D157" s="369"/>
      <c r="E157" s="369"/>
      <c r="F157" s="369"/>
      <c r="G157" s="369"/>
      <c r="H157" s="370"/>
      <c r="I157" s="371"/>
      <c r="J157" s="371"/>
      <c r="K157" s="370"/>
      <c r="L157" s="369"/>
      <c r="M157" s="369"/>
      <c r="N157" s="369"/>
      <c r="O157" s="369"/>
      <c r="P157" s="369"/>
      <c r="Q157" s="369"/>
      <c r="R157" s="369"/>
      <c r="S157" s="369"/>
      <c r="T157" s="369"/>
      <c r="U157" s="369"/>
      <c r="V157" s="369"/>
      <c r="W157" s="369"/>
      <c r="X157" s="369"/>
      <c r="Y157" s="369"/>
      <c r="Z157" s="369"/>
    </row>
    <row r="158" spans="1:26" ht="14.25" customHeight="1">
      <c r="A158" s="369"/>
      <c r="B158" s="369"/>
      <c r="C158" s="369"/>
      <c r="D158" s="369"/>
      <c r="E158" s="369"/>
      <c r="F158" s="369"/>
      <c r="G158" s="369"/>
      <c r="H158" s="370"/>
      <c r="I158" s="371"/>
      <c r="J158" s="371"/>
      <c r="K158" s="370"/>
      <c r="L158" s="369"/>
      <c r="M158" s="369"/>
      <c r="N158" s="369"/>
      <c r="O158" s="369"/>
      <c r="P158" s="369"/>
      <c r="Q158" s="369"/>
      <c r="R158" s="369"/>
      <c r="S158" s="369"/>
      <c r="T158" s="369"/>
      <c r="U158" s="369"/>
      <c r="V158" s="369"/>
      <c r="W158" s="369"/>
      <c r="X158" s="369"/>
      <c r="Y158" s="369"/>
      <c r="Z158" s="369"/>
    </row>
    <row r="159" spans="1:26" ht="14.25" customHeight="1">
      <c r="A159" s="369"/>
      <c r="B159" s="369"/>
      <c r="C159" s="369"/>
      <c r="D159" s="369"/>
      <c r="E159" s="369"/>
      <c r="F159" s="369"/>
      <c r="G159" s="369"/>
      <c r="H159" s="370"/>
      <c r="I159" s="371"/>
      <c r="J159" s="371"/>
      <c r="K159" s="370"/>
      <c r="L159" s="369"/>
      <c r="M159" s="369"/>
      <c r="N159" s="369"/>
      <c r="O159" s="369"/>
      <c r="P159" s="369"/>
      <c r="Q159" s="369"/>
      <c r="R159" s="369"/>
      <c r="S159" s="369"/>
      <c r="T159" s="369"/>
      <c r="U159" s="369"/>
      <c r="V159" s="369"/>
      <c r="W159" s="369"/>
      <c r="X159" s="369"/>
      <c r="Y159" s="369"/>
      <c r="Z159" s="369"/>
    </row>
    <row r="160" spans="1:26" ht="14.25" customHeight="1">
      <c r="A160" s="369"/>
      <c r="B160" s="369"/>
      <c r="C160" s="369"/>
      <c r="D160" s="369"/>
      <c r="E160" s="369"/>
      <c r="F160" s="369"/>
      <c r="G160" s="369"/>
      <c r="H160" s="370"/>
      <c r="I160" s="371"/>
      <c r="J160" s="371"/>
      <c r="K160" s="370"/>
      <c r="L160" s="369"/>
      <c r="M160" s="369"/>
      <c r="N160" s="369"/>
      <c r="O160" s="369"/>
      <c r="P160" s="369"/>
      <c r="Q160" s="369"/>
      <c r="R160" s="369"/>
      <c r="S160" s="369"/>
      <c r="T160" s="369"/>
      <c r="U160" s="369"/>
      <c r="V160" s="369"/>
      <c r="W160" s="369"/>
      <c r="X160" s="369"/>
      <c r="Y160" s="369"/>
      <c r="Z160" s="369"/>
    </row>
    <row r="161" spans="1:26" ht="14.25" customHeight="1">
      <c r="A161" s="369"/>
      <c r="B161" s="369"/>
      <c r="C161" s="369"/>
      <c r="D161" s="369"/>
      <c r="E161" s="369"/>
      <c r="F161" s="369"/>
      <c r="G161" s="369"/>
      <c r="H161" s="370"/>
      <c r="I161" s="371"/>
      <c r="J161" s="371"/>
      <c r="K161" s="370"/>
      <c r="L161" s="369"/>
      <c r="M161" s="369"/>
      <c r="N161" s="369"/>
      <c r="O161" s="369"/>
      <c r="P161" s="369"/>
      <c r="Q161" s="369"/>
      <c r="R161" s="369"/>
      <c r="S161" s="369"/>
      <c r="T161" s="369"/>
      <c r="U161" s="369"/>
      <c r="V161" s="369"/>
      <c r="W161" s="369"/>
      <c r="X161" s="369"/>
      <c r="Y161" s="369"/>
      <c r="Z161" s="369"/>
    </row>
    <row r="162" spans="1:26" ht="14.25" customHeight="1">
      <c r="A162" s="369"/>
      <c r="B162" s="369"/>
      <c r="C162" s="369"/>
      <c r="D162" s="369"/>
      <c r="E162" s="369"/>
      <c r="F162" s="369"/>
      <c r="G162" s="369"/>
      <c r="H162" s="370"/>
      <c r="I162" s="371"/>
      <c r="J162" s="371"/>
      <c r="K162" s="370"/>
      <c r="L162" s="369"/>
      <c r="M162" s="369"/>
      <c r="N162" s="369"/>
      <c r="O162" s="369"/>
      <c r="P162" s="369"/>
      <c r="Q162" s="369"/>
      <c r="R162" s="369"/>
      <c r="S162" s="369"/>
      <c r="T162" s="369"/>
      <c r="U162" s="369"/>
      <c r="V162" s="369"/>
      <c r="W162" s="369"/>
      <c r="X162" s="369"/>
      <c r="Y162" s="369"/>
      <c r="Z162" s="369"/>
    </row>
    <row r="163" spans="1:26" ht="14.25" customHeight="1">
      <c r="A163" s="369"/>
      <c r="B163" s="369"/>
      <c r="C163" s="369"/>
      <c r="D163" s="369"/>
      <c r="E163" s="369"/>
      <c r="F163" s="369"/>
      <c r="G163" s="369"/>
      <c r="H163" s="370"/>
      <c r="I163" s="371"/>
      <c r="J163" s="371"/>
      <c r="K163" s="370"/>
      <c r="L163" s="369"/>
      <c r="M163" s="369"/>
      <c r="N163" s="369"/>
      <c r="O163" s="369"/>
      <c r="P163" s="369"/>
      <c r="Q163" s="369"/>
      <c r="R163" s="369"/>
      <c r="S163" s="369"/>
      <c r="T163" s="369"/>
      <c r="U163" s="369"/>
      <c r="V163" s="369"/>
      <c r="W163" s="369"/>
      <c r="X163" s="369"/>
      <c r="Y163" s="369"/>
      <c r="Z163" s="369"/>
    </row>
    <row r="164" spans="1:26" ht="14.25" customHeight="1">
      <c r="A164" s="369"/>
      <c r="B164" s="369"/>
      <c r="C164" s="369"/>
      <c r="D164" s="369"/>
      <c r="E164" s="369"/>
      <c r="F164" s="369"/>
      <c r="G164" s="369"/>
      <c r="H164" s="370"/>
      <c r="I164" s="371"/>
      <c r="J164" s="371"/>
      <c r="K164" s="370"/>
      <c r="L164" s="369"/>
      <c r="M164" s="369"/>
      <c r="N164" s="369"/>
      <c r="O164" s="369"/>
      <c r="P164" s="369"/>
      <c r="Q164" s="369"/>
      <c r="R164" s="369"/>
      <c r="S164" s="369"/>
      <c r="T164" s="369"/>
      <c r="U164" s="369"/>
      <c r="V164" s="369"/>
      <c r="W164" s="369"/>
      <c r="X164" s="369"/>
      <c r="Y164" s="369"/>
      <c r="Z164" s="369"/>
    </row>
    <row r="165" spans="1:26" ht="14.25" customHeight="1">
      <c r="A165" s="369"/>
      <c r="B165" s="369"/>
      <c r="C165" s="369"/>
      <c r="D165" s="369"/>
      <c r="E165" s="369"/>
      <c r="F165" s="369"/>
      <c r="G165" s="369"/>
      <c r="H165" s="370"/>
      <c r="I165" s="371"/>
      <c r="J165" s="371"/>
      <c r="K165" s="370"/>
      <c r="L165" s="369"/>
      <c r="M165" s="369"/>
      <c r="N165" s="369"/>
      <c r="O165" s="369"/>
      <c r="P165" s="369"/>
      <c r="Q165" s="369"/>
      <c r="R165" s="369"/>
      <c r="S165" s="369"/>
      <c r="T165" s="369"/>
      <c r="U165" s="369"/>
      <c r="V165" s="369"/>
      <c r="W165" s="369"/>
      <c r="X165" s="369"/>
      <c r="Y165" s="369"/>
      <c r="Z165" s="369"/>
    </row>
    <row r="166" spans="1:26" ht="14.25" customHeight="1">
      <c r="A166" s="369"/>
      <c r="B166" s="369"/>
      <c r="C166" s="369"/>
      <c r="D166" s="369"/>
      <c r="E166" s="369"/>
      <c r="F166" s="369"/>
      <c r="G166" s="369"/>
      <c r="H166" s="370"/>
      <c r="I166" s="371"/>
      <c r="J166" s="371"/>
      <c r="K166" s="370"/>
      <c r="L166" s="369"/>
      <c r="M166" s="369"/>
      <c r="N166" s="369"/>
      <c r="O166" s="369"/>
      <c r="P166" s="369"/>
      <c r="Q166" s="369"/>
      <c r="R166" s="369"/>
      <c r="S166" s="369"/>
      <c r="T166" s="369"/>
      <c r="U166" s="369"/>
      <c r="V166" s="369"/>
      <c r="W166" s="369"/>
      <c r="X166" s="369"/>
      <c r="Y166" s="369"/>
      <c r="Z166" s="369"/>
    </row>
    <row r="167" spans="1:26" ht="14.25" customHeight="1">
      <c r="A167" s="369"/>
      <c r="B167" s="369"/>
      <c r="C167" s="369"/>
      <c r="D167" s="369"/>
      <c r="E167" s="369"/>
      <c r="F167" s="369"/>
      <c r="G167" s="369"/>
      <c r="H167" s="370"/>
      <c r="I167" s="371"/>
      <c r="J167" s="371"/>
      <c r="K167" s="370"/>
      <c r="L167" s="369"/>
      <c r="M167" s="369"/>
      <c r="N167" s="369"/>
      <c r="O167" s="369"/>
      <c r="P167" s="369"/>
      <c r="Q167" s="369"/>
      <c r="R167" s="369"/>
      <c r="S167" s="369"/>
      <c r="T167" s="369"/>
      <c r="U167" s="369"/>
      <c r="V167" s="369"/>
      <c r="W167" s="369"/>
      <c r="X167" s="369"/>
      <c r="Y167" s="369"/>
      <c r="Z167" s="369"/>
    </row>
    <row r="168" spans="1:26" ht="14.25" customHeight="1">
      <c r="A168" s="369"/>
      <c r="B168" s="369"/>
      <c r="C168" s="369"/>
      <c r="D168" s="369"/>
      <c r="E168" s="369"/>
      <c r="F168" s="369"/>
      <c r="G168" s="369"/>
      <c r="H168" s="370"/>
      <c r="I168" s="371"/>
      <c r="J168" s="371"/>
      <c r="K168" s="370"/>
      <c r="L168" s="369"/>
      <c r="M168" s="369"/>
      <c r="N168" s="369"/>
      <c r="O168" s="369"/>
      <c r="P168" s="369"/>
      <c r="Q168" s="369"/>
      <c r="R168" s="369"/>
      <c r="S168" s="369"/>
      <c r="T168" s="369"/>
      <c r="U168" s="369"/>
      <c r="V168" s="369"/>
      <c r="W168" s="369"/>
      <c r="X168" s="369"/>
      <c r="Y168" s="369"/>
      <c r="Z168" s="369"/>
    </row>
    <row r="169" spans="1:26" ht="14.25" customHeight="1">
      <c r="A169" s="369"/>
      <c r="B169" s="369"/>
      <c r="C169" s="369"/>
      <c r="D169" s="369"/>
      <c r="E169" s="369"/>
      <c r="F169" s="369"/>
      <c r="G169" s="369"/>
      <c r="H169" s="370"/>
      <c r="I169" s="371"/>
      <c r="J169" s="371"/>
      <c r="K169" s="370"/>
      <c r="L169" s="369"/>
      <c r="M169" s="369"/>
      <c r="N169" s="369"/>
      <c r="O169" s="369"/>
      <c r="P169" s="369"/>
      <c r="Q169" s="369"/>
      <c r="R169" s="369"/>
      <c r="S169" s="369"/>
      <c r="T169" s="369"/>
      <c r="U169" s="369"/>
      <c r="V169" s="369"/>
      <c r="W169" s="369"/>
      <c r="X169" s="369"/>
      <c r="Y169" s="369"/>
      <c r="Z169" s="369"/>
    </row>
    <row r="170" spans="1:26" ht="14.25" customHeight="1">
      <c r="A170" s="369"/>
      <c r="B170" s="369"/>
      <c r="C170" s="369"/>
      <c r="D170" s="369"/>
      <c r="E170" s="369"/>
      <c r="F170" s="369"/>
      <c r="G170" s="369"/>
      <c r="H170" s="370"/>
      <c r="I170" s="371"/>
      <c r="J170" s="371"/>
      <c r="K170" s="370"/>
      <c r="L170" s="369"/>
      <c r="M170" s="369"/>
      <c r="N170" s="369"/>
      <c r="O170" s="369"/>
      <c r="P170" s="369"/>
      <c r="Q170" s="369"/>
      <c r="R170" s="369"/>
      <c r="S170" s="369"/>
      <c r="T170" s="369"/>
      <c r="U170" s="369"/>
      <c r="V170" s="369"/>
      <c r="W170" s="369"/>
      <c r="X170" s="369"/>
      <c r="Y170" s="369"/>
      <c r="Z170" s="369"/>
    </row>
    <row r="171" spans="1:26" ht="14.25" customHeight="1">
      <c r="A171" s="369"/>
      <c r="B171" s="369"/>
      <c r="C171" s="369"/>
      <c r="D171" s="369"/>
      <c r="E171" s="369"/>
      <c r="F171" s="369"/>
      <c r="G171" s="369"/>
      <c r="H171" s="370"/>
      <c r="I171" s="371"/>
      <c r="J171" s="371"/>
      <c r="K171" s="370"/>
      <c r="L171" s="369"/>
      <c r="M171" s="369"/>
      <c r="N171" s="369"/>
      <c r="O171" s="369"/>
      <c r="P171" s="369"/>
      <c r="Q171" s="369"/>
      <c r="R171" s="369"/>
      <c r="S171" s="369"/>
      <c r="T171" s="369"/>
      <c r="U171" s="369"/>
      <c r="V171" s="369"/>
      <c r="W171" s="369"/>
      <c r="X171" s="369"/>
      <c r="Y171" s="369"/>
      <c r="Z171" s="369"/>
    </row>
    <row r="172" spans="1:26" ht="14.25" customHeight="1">
      <c r="A172" s="369"/>
      <c r="B172" s="369"/>
      <c r="C172" s="369"/>
      <c r="D172" s="369"/>
      <c r="E172" s="369"/>
      <c r="F172" s="369"/>
      <c r="G172" s="369"/>
      <c r="H172" s="370"/>
      <c r="I172" s="371"/>
      <c r="J172" s="371"/>
      <c r="K172" s="370"/>
      <c r="L172" s="369"/>
      <c r="M172" s="369"/>
      <c r="N172" s="369"/>
      <c r="O172" s="369"/>
      <c r="P172" s="369"/>
      <c r="Q172" s="369"/>
      <c r="R172" s="369"/>
      <c r="S172" s="369"/>
      <c r="T172" s="369"/>
      <c r="U172" s="369"/>
      <c r="V172" s="369"/>
      <c r="W172" s="369"/>
      <c r="X172" s="369"/>
      <c r="Y172" s="369"/>
      <c r="Z172" s="369"/>
    </row>
    <row r="173" spans="1:26" ht="14.25" customHeight="1">
      <c r="A173" s="369"/>
      <c r="B173" s="369"/>
      <c r="C173" s="369"/>
      <c r="D173" s="369"/>
      <c r="E173" s="369"/>
      <c r="F173" s="369"/>
      <c r="G173" s="369"/>
      <c r="H173" s="370"/>
      <c r="I173" s="371"/>
      <c r="J173" s="371"/>
      <c r="K173" s="370"/>
      <c r="L173" s="369"/>
      <c r="M173" s="369"/>
      <c r="N173" s="369"/>
      <c r="O173" s="369"/>
      <c r="P173" s="369"/>
      <c r="Q173" s="369"/>
      <c r="R173" s="369"/>
      <c r="S173" s="369"/>
      <c r="T173" s="369"/>
      <c r="U173" s="369"/>
      <c r="V173" s="369"/>
      <c r="W173" s="369"/>
      <c r="X173" s="369"/>
      <c r="Y173" s="369"/>
      <c r="Z173" s="369"/>
    </row>
    <row r="174" spans="1:26" ht="14.25" customHeight="1">
      <c r="A174" s="369"/>
      <c r="B174" s="369"/>
      <c r="C174" s="369"/>
      <c r="D174" s="369"/>
      <c r="E174" s="369"/>
      <c r="F174" s="369"/>
      <c r="G174" s="369"/>
      <c r="H174" s="370"/>
      <c r="I174" s="371"/>
      <c r="J174" s="371"/>
      <c r="K174" s="370"/>
      <c r="L174" s="369"/>
      <c r="M174" s="369"/>
      <c r="N174" s="369"/>
      <c r="O174" s="369"/>
      <c r="P174" s="369"/>
      <c r="Q174" s="369"/>
      <c r="R174" s="369"/>
      <c r="S174" s="369"/>
      <c r="T174" s="369"/>
      <c r="U174" s="369"/>
      <c r="V174" s="369"/>
      <c r="W174" s="369"/>
      <c r="X174" s="369"/>
      <c r="Y174" s="369"/>
      <c r="Z174" s="369"/>
    </row>
    <row r="175" spans="1:26" ht="14.25" customHeight="1">
      <c r="A175" s="369"/>
      <c r="B175" s="369"/>
      <c r="C175" s="369"/>
      <c r="D175" s="369"/>
      <c r="E175" s="369"/>
      <c r="F175" s="369"/>
      <c r="G175" s="369"/>
      <c r="H175" s="370"/>
      <c r="I175" s="371"/>
      <c r="J175" s="371"/>
      <c r="K175" s="370"/>
      <c r="L175" s="369"/>
      <c r="M175" s="369"/>
      <c r="N175" s="369"/>
      <c r="O175" s="369"/>
      <c r="P175" s="369"/>
      <c r="Q175" s="369"/>
      <c r="R175" s="369"/>
      <c r="S175" s="369"/>
      <c r="T175" s="369"/>
      <c r="U175" s="369"/>
      <c r="V175" s="369"/>
      <c r="W175" s="369"/>
      <c r="X175" s="369"/>
      <c r="Y175" s="369"/>
      <c r="Z175" s="369"/>
    </row>
    <row r="176" spans="1:26" ht="14.25" customHeight="1">
      <c r="A176" s="369"/>
      <c r="B176" s="369"/>
      <c r="C176" s="369"/>
      <c r="D176" s="369"/>
      <c r="E176" s="369"/>
      <c r="F176" s="369"/>
      <c r="G176" s="369"/>
      <c r="H176" s="370"/>
      <c r="I176" s="371"/>
      <c r="J176" s="371"/>
      <c r="K176" s="370"/>
      <c r="L176" s="369"/>
      <c r="M176" s="369"/>
      <c r="N176" s="369"/>
      <c r="O176" s="369"/>
      <c r="P176" s="369"/>
      <c r="Q176" s="369"/>
      <c r="R176" s="369"/>
      <c r="S176" s="369"/>
      <c r="T176" s="369"/>
      <c r="U176" s="369"/>
      <c r="V176" s="369"/>
      <c r="W176" s="369"/>
      <c r="X176" s="369"/>
      <c r="Y176" s="369"/>
      <c r="Z176" s="369"/>
    </row>
    <row r="177" spans="1:26" ht="14.25" customHeight="1">
      <c r="A177" s="369"/>
      <c r="B177" s="369"/>
      <c r="C177" s="369"/>
      <c r="D177" s="369"/>
      <c r="E177" s="369"/>
      <c r="F177" s="369"/>
      <c r="G177" s="369"/>
      <c r="H177" s="370"/>
      <c r="I177" s="371"/>
      <c r="J177" s="371"/>
      <c r="K177" s="370"/>
      <c r="L177" s="369"/>
      <c r="M177" s="369"/>
      <c r="N177" s="369"/>
      <c r="O177" s="369"/>
      <c r="P177" s="369"/>
      <c r="Q177" s="369"/>
      <c r="R177" s="369"/>
      <c r="S177" s="369"/>
      <c r="T177" s="369"/>
      <c r="U177" s="369"/>
      <c r="V177" s="369"/>
      <c r="W177" s="369"/>
      <c r="X177" s="369"/>
      <c r="Y177" s="369"/>
      <c r="Z177" s="369"/>
    </row>
    <row r="178" spans="1:26" ht="14.25" customHeight="1">
      <c r="A178" s="369"/>
      <c r="B178" s="369"/>
      <c r="C178" s="369"/>
      <c r="D178" s="369"/>
      <c r="E178" s="369"/>
      <c r="F178" s="369"/>
      <c r="G178" s="369"/>
      <c r="H178" s="370"/>
      <c r="I178" s="371"/>
      <c r="J178" s="371"/>
      <c r="K178" s="370"/>
      <c r="L178" s="369"/>
      <c r="M178" s="369"/>
      <c r="N178" s="369"/>
      <c r="O178" s="369"/>
      <c r="P178" s="369"/>
      <c r="Q178" s="369"/>
      <c r="R178" s="369"/>
      <c r="S178" s="369"/>
      <c r="T178" s="369"/>
      <c r="U178" s="369"/>
      <c r="V178" s="369"/>
      <c r="W178" s="369"/>
      <c r="X178" s="369"/>
      <c r="Y178" s="369"/>
      <c r="Z178" s="369"/>
    </row>
    <row r="179" spans="1:26" ht="14.25" customHeight="1">
      <c r="A179" s="369"/>
      <c r="B179" s="369"/>
      <c r="C179" s="369"/>
      <c r="D179" s="369"/>
      <c r="E179" s="369"/>
      <c r="F179" s="369"/>
      <c r="G179" s="369"/>
      <c r="H179" s="370"/>
      <c r="I179" s="371"/>
      <c r="J179" s="371"/>
      <c r="K179" s="370"/>
      <c r="L179" s="369"/>
      <c r="M179" s="369"/>
      <c r="N179" s="369"/>
      <c r="O179" s="369"/>
      <c r="P179" s="369"/>
      <c r="Q179" s="369"/>
      <c r="R179" s="369"/>
      <c r="S179" s="369"/>
      <c r="T179" s="369"/>
      <c r="U179" s="369"/>
      <c r="V179" s="369"/>
      <c r="W179" s="369"/>
      <c r="X179" s="369"/>
      <c r="Y179" s="369"/>
      <c r="Z179" s="369"/>
    </row>
    <row r="180" spans="1:26" ht="14.25" customHeight="1">
      <c r="A180" s="369"/>
      <c r="B180" s="369"/>
      <c r="C180" s="369"/>
      <c r="D180" s="369"/>
      <c r="E180" s="369"/>
      <c r="F180" s="369"/>
      <c r="G180" s="369"/>
      <c r="H180" s="370"/>
      <c r="I180" s="371"/>
      <c r="J180" s="371"/>
      <c r="K180" s="370"/>
      <c r="L180" s="369"/>
      <c r="M180" s="369"/>
      <c r="N180" s="369"/>
      <c r="O180" s="369"/>
      <c r="P180" s="369"/>
      <c r="Q180" s="369"/>
      <c r="R180" s="369"/>
      <c r="S180" s="369"/>
      <c r="T180" s="369"/>
      <c r="U180" s="369"/>
      <c r="V180" s="369"/>
      <c r="W180" s="369"/>
      <c r="X180" s="369"/>
      <c r="Y180" s="369"/>
      <c r="Z180" s="369"/>
    </row>
    <row r="181" spans="1:26" ht="14.25" customHeight="1">
      <c r="A181" s="369"/>
      <c r="B181" s="369"/>
      <c r="C181" s="369"/>
      <c r="D181" s="369"/>
      <c r="E181" s="369"/>
      <c r="F181" s="369"/>
      <c r="G181" s="369"/>
      <c r="H181" s="370"/>
      <c r="I181" s="371"/>
      <c r="J181" s="371"/>
      <c r="K181" s="370"/>
      <c r="L181" s="369"/>
      <c r="M181" s="369"/>
      <c r="N181" s="369"/>
      <c r="O181" s="369"/>
      <c r="P181" s="369"/>
      <c r="Q181" s="369"/>
      <c r="R181" s="369"/>
      <c r="S181" s="369"/>
      <c r="T181" s="369"/>
      <c r="U181" s="369"/>
      <c r="V181" s="369"/>
      <c r="W181" s="369"/>
      <c r="X181" s="369"/>
      <c r="Y181" s="369"/>
      <c r="Z181" s="369"/>
    </row>
    <row r="182" spans="1:26" ht="14.25" customHeight="1">
      <c r="A182" s="369"/>
      <c r="B182" s="369"/>
      <c r="C182" s="369"/>
      <c r="D182" s="369"/>
      <c r="E182" s="369"/>
      <c r="F182" s="369"/>
      <c r="G182" s="369"/>
      <c r="H182" s="370"/>
      <c r="I182" s="371"/>
      <c r="J182" s="371"/>
      <c r="K182" s="370"/>
      <c r="L182" s="369"/>
      <c r="M182" s="369"/>
      <c r="N182" s="369"/>
      <c r="O182" s="369"/>
      <c r="P182" s="369"/>
      <c r="Q182" s="369"/>
      <c r="R182" s="369"/>
      <c r="S182" s="369"/>
      <c r="T182" s="369"/>
      <c r="U182" s="369"/>
      <c r="V182" s="369"/>
      <c r="W182" s="369"/>
      <c r="X182" s="369"/>
      <c r="Y182" s="369"/>
      <c r="Z182" s="369"/>
    </row>
    <row r="183" spans="1:26" ht="14.25" customHeight="1">
      <c r="A183" s="369"/>
      <c r="B183" s="369"/>
      <c r="C183" s="369"/>
      <c r="D183" s="369"/>
      <c r="E183" s="369"/>
      <c r="F183" s="369"/>
      <c r="G183" s="369"/>
      <c r="H183" s="370"/>
      <c r="I183" s="371"/>
      <c r="J183" s="371"/>
      <c r="K183" s="370"/>
      <c r="L183" s="369"/>
      <c r="M183" s="369"/>
      <c r="N183" s="369"/>
      <c r="O183" s="369"/>
      <c r="P183" s="369"/>
      <c r="Q183" s="369"/>
      <c r="R183" s="369"/>
      <c r="S183" s="369"/>
      <c r="T183" s="369"/>
      <c r="U183" s="369"/>
      <c r="V183" s="369"/>
      <c r="W183" s="369"/>
      <c r="X183" s="369"/>
      <c r="Y183" s="369"/>
      <c r="Z183" s="369"/>
    </row>
    <row r="184" spans="1:26" ht="14.25" customHeight="1">
      <c r="A184" s="369"/>
      <c r="B184" s="369"/>
      <c r="C184" s="369"/>
      <c r="D184" s="369"/>
      <c r="E184" s="369"/>
      <c r="F184" s="369"/>
      <c r="G184" s="369"/>
      <c r="H184" s="370"/>
      <c r="I184" s="371"/>
      <c r="J184" s="371"/>
      <c r="K184" s="370"/>
      <c r="L184" s="369"/>
      <c r="M184" s="369"/>
      <c r="N184" s="369"/>
      <c r="O184" s="369"/>
      <c r="P184" s="369"/>
      <c r="Q184" s="369"/>
      <c r="R184" s="369"/>
      <c r="S184" s="369"/>
      <c r="T184" s="369"/>
      <c r="U184" s="369"/>
      <c r="V184" s="369"/>
      <c r="W184" s="369"/>
      <c r="X184" s="369"/>
      <c r="Y184" s="369"/>
      <c r="Z184" s="369"/>
    </row>
    <row r="185" spans="1:26" ht="14.25" customHeight="1">
      <c r="A185" s="369"/>
      <c r="B185" s="369"/>
      <c r="C185" s="369"/>
      <c r="D185" s="369"/>
      <c r="E185" s="369"/>
      <c r="F185" s="369"/>
      <c r="G185" s="369"/>
      <c r="H185" s="370"/>
      <c r="I185" s="371"/>
      <c r="J185" s="371"/>
      <c r="K185" s="370"/>
      <c r="L185" s="369"/>
      <c r="M185" s="369"/>
      <c r="N185" s="369"/>
      <c r="O185" s="369"/>
      <c r="P185" s="369"/>
      <c r="Q185" s="369"/>
      <c r="R185" s="369"/>
      <c r="S185" s="369"/>
      <c r="T185" s="369"/>
      <c r="U185" s="369"/>
      <c r="V185" s="369"/>
      <c r="W185" s="369"/>
      <c r="X185" s="369"/>
      <c r="Y185" s="369"/>
      <c r="Z185" s="369"/>
    </row>
    <row r="186" spans="1:26" ht="14.25" customHeight="1">
      <c r="A186" s="369"/>
      <c r="B186" s="369"/>
      <c r="C186" s="369"/>
      <c r="D186" s="369"/>
      <c r="E186" s="369"/>
      <c r="F186" s="369"/>
      <c r="G186" s="369"/>
      <c r="H186" s="370"/>
      <c r="I186" s="371"/>
      <c r="J186" s="371"/>
      <c r="K186" s="370"/>
      <c r="L186" s="369"/>
      <c r="M186" s="369"/>
      <c r="N186" s="369"/>
      <c r="O186" s="369"/>
      <c r="P186" s="369"/>
      <c r="Q186" s="369"/>
      <c r="R186" s="369"/>
      <c r="S186" s="369"/>
      <c r="T186" s="369"/>
      <c r="U186" s="369"/>
      <c r="V186" s="369"/>
      <c r="W186" s="369"/>
      <c r="X186" s="369"/>
      <c r="Y186" s="369"/>
      <c r="Z186" s="369"/>
    </row>
    <row r="187" spans="1:26" ht="14.25" customHeight="1">
      <c r="A187" s="369"/>
      <c r="B187" s="369"/>
      <c r="C187" s="369"/>
      <c r="D187" s="369"/>
      <c r="E187" s="369"/>
      <c r="F187" s="369"/>
      <c r="G187" s="369"/>
      <c r="H187" s="370"/>
      <c r="I187" s="371"/>
      <c r="J187" s="371"/>
      <c r="K187" s="370"/>
      <c r="L187" s="369"/>
      <c r="M187" s="369"/>
      <c r="N187" s="369"/>
      <c r="O187" s="369"/>
      <c r="P187" s="369"/>
      <c r="Q187" s="369"/>
      <c r="R187" s="369"/>
      <c r="S187" s="369"/>
      <c r="T187" s="369"/>
      <c r="U187" s="369"/>
      <c r="V187" s="369"/>
      <c r="W187" s="369"/>
      <c r="X187" s="369"/>
      <c r="Y187" s="369"/>
      <c r="Z187" s="369"/>
    </row>
    <row r="188" spans="1:26" ht="14.25" customHeight="1">
      <c r="A188" s="369"/>
      <c r="B188" s="369"/>
      <c r="C188" s="369"/>
      <c r="D188" s="369"/>
      <c r="E188" s="369"/>
      <c r="F188" s="369"/>
      <c r="G188" s="369"/>
      <c r="H188" s="370"/>
      <c r="I188" s="371"/>
      <c r="J188" s="371"/>
      <c r="K188" s="370"/>
      <c r="L188" s="369"/>
      <c r="M188" s="369"/>
      <c r="N188" s="369"/>
      <c r="O188" s="369"/>
      <c r="P188" s="369"/>
      <c r="Q188" s="369"/>
      <c r="R188" s="369"/>
      <c r="S188" s="369"/>
      <c r="T188" s="369"/>
      <c r="U188" s="369"/>
      <c r="V188" s="369"/>
      <c r="W188" s="369"/>
      <c r="X188" s="369"/>
      <c r="Y188" s="369"/>
      <c r="Z188" s="369"/>
    </row>
    <row r="189" spans="1:26" ht="14.25" customHeight="1">
      <c r="A189" s="369"/>
      <c r="B189" s="369"/>
      <c r="C189" s="369"/>
      <c r="D189" s="369"/>
      <c r="E189" s="369"/>
      <c r="F189" s="369"/>
      <c r="G189" s="369"/>
      <c r="H189" s="370"/>
      <c r="I189" s="371"/>
      <c r="J189" s="371"/>
      <c r="K189" s="370"/>
      <c r="L189" s="369"/>
      <c r="M189" s="369"/>
      <c r="N189" s="369"/>
      <c r="O189" s="369"/>
      <c r="P189" s="369"/>
      <c r="Q189" s="369"/>
      <c r="R189" s="369"/>
      <c r="S189" s="369"/>
      <c r="T189" s="369"/>
      <c r="U189" s="369"/>
      <c r="V189" s="369"/>
      <c r="W189" s="369"/>
      <c r="X189" s="369"/>
      <c r="Y189" s="369"/>
      <c r="Z189" s="369"/>
    </row>
    <row r="190" spans="1:26" ht="14.25" customHeight="1">
      <c r="A190" s="369"/>
      <c r="B190" s="369"/>
      <c r="C190" s="369"/>
      <c r="D190" s="369"/>
      <c r="E190" s="369"/>
      <c r="F190" s="369"/>
      <c r="G190" s="369"/>
      <c r="H190" s="370"/>
      <c r="I190" s="371"/>
      <c r="J190" s="371"/>
      <c r="K190" s="370"/>
      <c r="L190" s="369"/>
      <c r="M190" s="369"/>
      <c r="N190" s="369"/>
      <c r="O190" s="369"/>
      <c r="P190" s="369"/>
      <c r="Q190" s="369"/>
      <c r="R190" s="369"/>
      <c r="S190" s="369"/>
      <c r="T190" s="369"/>
      <c r="U190" s="369"/>
      <c r="V190" s="369"/>
      <c r="W190" s="369"/>
      <c r="X190" s="369"/>
      <c r="Y190" s="369"/>
      <c r="Z190" s="369"/>
    </row>
    <row r="191" spans="1:26" ht="14.25" customHeight="1">
      <c r="A191" s="369"/>
      <c r="B191" s="369"/>
      <c r="C191" s="369"/>
      <c r="D191" s="369"/>
      <c r="E191" s="369"/>
      <c r="F191" s="369"/>
      <c r="G191" s="369"/>
      <c r="H191" s="370"/>
      <c r="I191" s="371"/>
      <c r="J191" s="371"/>
      <c r="K191" s="370"/>
      <c r="L191" s="369"/>
      <c r="M191" s="369"/>
      <c r="N191" s="369"/>
      <c r="O191" s="369"/>
      <c r="P191" s="369"/>
      <c r="Q191" s="369"/>
      <c r="R191" s="369"/>
      <c r="S191" s="369"/>
      <c r="T191" s="369"/>
      <c r="U191" s="369"/>
      <c r="V191" s="369"/>
      <c r="W191" s="369"/>
      <c r="X191" s="369"/>
      <c r="Y191" s="369"/>
      <c r="Z191" s="369"/>
    </row>
    <row r="192" spans="1:26" ht="14.25" customHeight="1">
      <c r="A192" s="369"/>
      <c r="B192" s="369"/>
      <c r="C192" s="369"/>
      <c r="D192" s="369"/>
      <c r="E192" s="369"/>
      <c r="F192" s="369"/>
      <c r="G192" s="369"/>
      <c r="H192" s="370"/>
      <c r="I192" s="371"/>
      <c r="J192" s="371"/>
      <c r="K192" s="370"/>
      <c r="L192" s="369"/>
      <c r="M192" s="369"/>
      <c r="N192" s="369"/>
      <c r="O192" s="369"/>
      <c r="P192" s="369"/>
      <c r="Q192" s="369"/>
      <c r="R192" s="369"/>
      <c r="S192" s="369"/>
      <c r="T192" s="369"/>
      <c r="U192" s="369"/>
      <c r="V192" s="369"/>
      <c r="W192" s="369"/>
      <c r="X192" s="369"/>
      <c r="Y192" s="369"/>
      <c r="Z192" s="369"/>
    </row>
    <row r="193" spans="1:26" ht="14.25" customHeight="1">
      <c r="A193" s="369"/>
      <c r="B193" s="369"/>
      <c r="C193" s="369"/>
      <c r="D193" s="369"/>
      <c r="E193" s="369"/>
      <c r="F193" s="369"/>
      <c r="G193" s="369"/>
      <c r="H193" s="370"/>
      <c r="I193" s="371"/>
      <c r="J193" s="371"/>
      <c r="K193" s="370"/>
      <c r="L193" s="369"/>
      <c r="M193" s="369"/>
      <c r="N193" s="369"/>
      <c r="O193" s="369"/>
      <c r="P193" s="369"/>
      <c r="Q193" s="369"/>
      <c r="R193" s="369"/>
      <c r="S193" s="369"/>
      <c r="T193" s="369"/>
      <c r="U193" s="369"/>
      <c r="V193" s="369"/>
      <c r="W193" s="369"/>
      <c r="X193" s="369"/>
      <c r="Y193" s="369"/>
      <c r="Z193" s="369"/>
    </row>
    <row r="194" spans="1:26" ht="14.25" customHeight="1">
      <c r="A194" s="369"/>
      <c r="B194" s="369"/>
      <c r="C194" s="369"/>
      <c r="D194" s="369"/>
      <c r="E194" s="369"/>
      <c r="F194" s="369"/>
      <c r="G194" s="369"/>
      <c r="H194" s="370"/>
      <c r="I194" s="371"/>
      <c r="J194" s="371"/>
      <c r="K194" s="370"/>
      <c r="L194" s="369"/>
      <c r="M194" s="369"/>
      <c r="N194" s="369"/>
      <c r="O194" s="369"/>
      <c r="P194" s="369"/>
      <c r="Q194" s="369"/>
      <c r="R194" s="369"/>
      <c r="S194" s="369"/>
      <c r="T194" s="369"/>
      <c r="U194" s="369"/>
      <c r="V194" s="369"/>
      <c r="W194" s="369"/>
      <c r="X194" s="369"/>
      <c r="Y194" s="369"/>
      <c r="Z194" s="369"/>
    </row>
    <row r="195" spans="1:26" ht="14.25" customHeight="1">
      <c r="A195" s="369"/>
      <c r="B195" s="369"/>
      <c r="C195" s="369"/>
      <c r="D195" s="369"/>
      <c r="E195" s="369"/>
      <c r="F195" s="369"/>
      <c r="G195" s="369"/>
      <c r="H195" s="370"/>
      <c r="I195" s="371"/>
      <c r="J195" s="371"/>
      <c r="K195" s="370"/>
      <c r="L195" s="369"/>
      <c r="M195" s="369"/>
      <c r="N195" s="369"/>
      <c r="O195" s="369"/>
      <c r="P195" s="369"/>
      <c r="Q195" s="369"/>
      <c r="R195" s="369"/>
      <c r="S195" s="369"/>
      <c r="T195" s="369"/>
      <c r="U195" s="369"/>
      <c r="V195" s="369"/>
      <c r="W195" s="369"/>
      <c r="X195" s="369"/>
      <c r="Y195" s="369"/>
      <c r="Z195" s="369"/>
    </row>
    <row r="196" spans="1:26" ht="14.25" customHeight="1">
      <c r="A196" s="369"/>
      <c r="B196" s="369"/>
      <c r="C196" s="369"/>
      <c r="D196" s="369"/>
      <c r="E196" s="369"/>
      <c r="F196" s="369"/>
      <c r="G196" s="369"/>
      <c r="H196" s="370"/>
      <c r="I196" s="371"/>
      <c r="J196" s="371"/>
      <c r="K196" s="370"/>
      <c r="L196" s="369"/>
      <c r="M196" s="369"/>
      <c r="N196" s="369"/>
      <c r="O196" s="369"/>
      <c r="P196" s="369"/>
      <c r="Q196" s="369"/>
      <c r="R196" s="369"/>
      <c r="S196" s="369"/>
      <c r="T196" s="369"/>
      <c r="U196" s="369"/>
      <c r="V196" s="369"/>
      <c r="W196" s="369"/>
      <c r="X196" s="369"/>
      <c r="Y196" s="369"/>
      <c r="Z196" s="369"/>
    </row>
    <row r="197" spans="1:26" ht="14.25" customHeight="1">
      <c r="A197" s="369"/>
      <c r="B197" s="369"/>
      <c r="C197" s="369"/>
      <c r="D197" s="369"/>
      <c r="E197" s="369"/>
      <c r="F197" s="369"/>
      <c r="G197" s="369"/>
      <c r="H197" s="370"/>
      <c r="I197" s="371"/>
      <c r="J197" s="371"/>
      <c r="K197" s="370"/>
      <c r="L197" s="369"/>
      <c r="M197" s="369"/>
      <c r="N197" s="369"/>
      <c r="O197" s="369"/>
      <c r="P197" s="369"/>
      <c r="Q197" s="369"/>
      <c r="R197" s="369"/>
      <c r="S197" s="369"/>
      <c r="T197" s="369"/>
      <c r="U197" s="369"/>
      <c r="V197" s="369"/>
      <c r="W197" s="369"/>
      <c r="X197" s="369"/>
      <c r="Y197" s="369"/>
      <c r="Z197" s="369"/>
    </row>
    <row r="198" spans="1:26" ht="14.25" customHeight="1">
      <c r="A198" s="369"/>
      <c r="B198" s="369"/>
      <c r="C198" s="369"/>
      <c r="D198" s="369"/>
      <c r="E198" s="369"/>
      <c r="F198" s="369"/>
      <c r="G198" s="369"/>
      <c r="H198" s="370"/>
      <c r="I198" s="371"/>
      <c r="J198" s="371"/>
      <c r="K198" s="370"/>
      <c r="L198" s="369"/>
      <c r="M198" s="369"/>
      <c r="N198" s="369"/>
      <c r="O198" s="369"/>
      <c r="P198" s="369"/>
      <c r="Q198" s="369"/>
      <c r="R198" s="369"/>
      <c r="S198" s="369"/>
      <c r="T198" s="369"/>
      <c r="U198" s="369"/>
      <c r="V198" s="369"/>
      <c r="W198" s="369"/>
      <c r="X198" s="369"/>
      <c r="Y198" s="369"/>
      <c r="Z198" s="369"/>
    </row>
    <row r="199" spans="1:26" ht="14.25" customHeight="1">
      <c r="A199" s="369"/>
      <c r="B199" s="369"/>
      <c r="C199" s="369"/>
      <c r="D199" s="369"/>
      <c r="E199" s="369"/>
      <c r="F199" s="369"/>
      <c r="G199" s="369"/>
      <c r="H199" s="370"/>
      <c r="I199" s="371"/>
      <c r="J199" s="371"/>
      <c r="K199" s="370"/>
      <c r="L199" s="369"/>
      <c r="M199" s="369"/>
      <c r="N199" s="369"/>
      <c r="O199" s="369"/>
      <c r="P199" s="369"/>
      <c r="Q199" s="369"/>
      <c r="R199" s="369"/>
      <c r="S199" s="369"/>
      <c r="T199" s="369"/>
      <c r="U199" s="369"/>
      <c r="V199" s="369"/>
      <c r="W199" s="369"/>
      <c r="X199" s="369"/>
      <c r="Y199" s="369"/>
      <c r="Z199" s="369"/>
    </row>
    <row r="200" spans="1:26" ht="14.25" customHeight="1">
      <c r="A200" s="369"/>
      <c r="B200" s="369"/>
      <c r="C200" s="369"/>
      <c r="D200" s="369"/>
      <c r="E200" s="369"/>
      <c r="F200" s="369"/>
      <c r="G200" s="369"/>
      <c r="H200" s="370"/>
      <c r="I200" s="371"/>
      <c r="J200" s="371"/>
      <c r="K200" s="370"/>
      <c r="L200" s="369"/>
      <c r="M200" s="369"/>
      <c r="N200" s="369"/>
      <c r="O200" s="369"/>
      <c r="P200" s="369"/>
      <c r="Q200" s="369"/>
      <c r="R200" s="369"/>
      <c r="S200" s="369"/>
      <c r="T200" s="369"/>
      <c r="U200" s="369"/>
      <c r="V200" s="369"/>
      <c r="W200" s="369"/>
      <c r="X200" s="369"/>
      <c r="Y200" s="369"/>
      <c r="Z200" s="369"/>
    </row>
    <row r="201" spans="1:26" ht="14.25" customHeight="1">
      <c r="A201" s="369"/>
      <c r="B201" s="369"/>
      <c r="C201" s="369"/>
      <c r="D201" s="369"/>
      <c r="E201" s="369"/>
      <c r="F201" s="369"/>
      <c r="G201" s="369"/>
      <c r="H201" s="370"/>
      <c r="I201" s="371"/>
      <c r="J201" s="371"/>
      <c r="K201" s="370"/>
      <c r="L201" s="369"/>
      <c r="M201" s="369"/>
      <c r="N201" s="369"/>
      <c r="O201" s="369"/>
      <c r="P201" s="369"/>
      <c r="Q201" s="369"/>
      <c r="R201" s="369"/>
      <c r="S201" s="369"/>
      <c r="T201" s="369"/>
      <c r="U201" s="369"/>
      <c r="V201" s="369"/>
      <c r="W201" s="369"/>
      <c r="X201" s="369"/>
      <c r="Y201" s="369"/>
      <c r="Z201" s="369"/>
    </row>
    <row r="202" spans="1:26" ht="14.25" customHeight="1">
      <c r="A202" s="369"/>
      <c r="B202" s="369"/>
      <c r="C202" s="369"/>
      <c r="D202" s="369"/>
      <c r="E202" s="369"/>
      <c r="F202" s="369"/>
      <c r="G202" s="369"/>
      <c r="H202" s="370"/>
      <c r="I202" s="371"/>
      <c r="J202" s="371"/>
      <c r="K202" s="370"/>
      <c r="L202" s="369"/>
      <c r="M202" s="369"/>
      <c r="N202" s="369"/>
      <c r="O202" s="369"/>
      <c r="P202" s="369"/>
      <c r="Q202" s="369"/>
      <c r="R202" s="369"/>
      <c r="S202" s="369"/>
      <c r="T202" s="369"/>
      <c r="U202" s="369"/>
      <c r="V202" s="369"/>
      <c r="W202" s="369"/>
      <c r="X202" s="369"/>
      <c r="Y202" s="369"/>
      <c r="Z202" s="369"/>
    </row>
    <row r="203" spans="1:26" ht="14.25" customHeight="1">
      <c r="A203" s="369"/>
      <c r="B203" s="369"/>
      <c r="C203" s="369"/>
      <c r="D203" s="369"/>
      <c r="E203" s="369"/>
      <c r="F203" s="369"/>
      <c r="G203" s="369"/>
      <c r="H203" s="370"/>
      <c r="I203" s="371"/>
      <c r="J203" s="371"/>
      <c r="K203" s="370"/>
      <c r="L203" s="369"/>
      <c r="M203" s="369"/>
      <c r="N203" s="369"/>
      <c r="O203" s="369"/>
      <c r="P203" s="369"/>
      <c r="Q203" s="369"/>
      <c r="R203" s="369"/>
      <c r="S203" s="369"/>
      <c r="T203" s="369"/>
      <c r="U203" s="369"/>
      <c r="V203" s="369"/>
      <c r="W203" s="369"/>
      <c r="X203" s="369"/>
      <c r="Y203" s="369"/>
      <c r="Z203" s="369"/>
    </row>
    <row r="204" spans="1:26" ht="14.25" customHeight="1">
      <c r="A204" s="369"/>
      <c r="B204" s="369"/>
      <c r="C204" s="369"/>
      <c r="D204" s="369"/>
      <c r="E204" s="369"/>
      <c r="F204" s="369"/>
      <c r="G204" s="369"/>
      <c r="H204" s="370"/>
      <c r="I204" s="371"/>
      <c r="J204" s="371"/>
      <c r="K204" s="370"/>
      <c r="L204" s="369"/>
      <c r="M204" s="369"/>
      <c r="N204" s="369"/>
      <c r="O204" s="369"/>
      <c r="P204" s="369"/>
      <c r="Q204" s="369"/>
      <c r="R204" s="369"/>
      <c r="S204" s="369"/>
      <c r="T204" s="369"/>
      <c r="U204" s="369"/>
      <c r="V204" s="369"/>
      <c r="W204" s="369"/>
      <c r="X204" s="369"/>
      <c r="Y204" s="369"/>
      <c r="Z204" s="369"/>
    </row>
    <row r="205" spans="1:26" ht="14.25" customHeight="1">
      <c r="A205" s="369"/>
      <c r="B205" s="369"/>
      <c r="C205" s="369"/>
      <c r="D205" s="369"/>
      <c r="E205" s="369"/>
      <c r="F205" s="369"/>
      <c r="G205" s="369"/>
      <c r="H205" s="370"/>
      <c r="I205" s="371"/>
      <c r="J205" s="371"/>
      <c r="K205" s="370"/>
      <c r="L205" s="369"/>
      <c r="M205" s="369"/>
      <c r="N205" s="369"/>
      <c r="O205" s="369"/>
      <c r="P205" s="369"/>
      <c r="Q205" s="369"/>
      <c r="R205" s="369"/>
      <c r="S205" s="369"/>
      <c r="T205" s="369"/>
      <c r="U205" s="369"/>
      <c r="V205" s="369"/>
      <c r="W205" s="369"/>
      <c r="X205" s="369"/>
      <c r="Y205" s="369"/>
      <c r="Z205" s="369"/>
    </row>
    <row r="206" spans="1:26" ht="14.25" customHeight="1">
      <c r="A206" s="369"/>
      <c r="B206" s="369"/>
      <c r="C206" s="369"/>
      <c r="D206" s="369"/>
      <c r="E206" s="369"/>
      <c r="F206" s="369"/>
      <c r="G206" s="369"/>
      <c r="H206" s="370"/>
      <c r="I206" s="371"/>
      <c r="J206" s="371"/>
      <c r="K206" s="370"/>
      <c r="L206" s="369"/>
      <c r="M206" s="369"/>
      <c r="N206" s="369"/>
      <c r="O206" s="369"/>
      <c r="P206" s="369"/>
      <c r="Q206" s="369"/>
      <c r="R206" s="369"/>
      <c r="S206" s="369"/>
      <c r="T206" s="369"/>
      <c r="U206" s="369"/>
      <c r="V206" s="369"/>
      <c r="W206" s="369"/>
      <c r="X206" s="369"/>
      <c r="Y206" s="369"/>
      <c r="Z206" s="369"/>
    </row>
    <row r="207" spans="1:26" ht="14.25" customHeight="1">
      <c r="A207" s="369"/>
      <c r="B207" s="369"/>
      <c r="C207" s="369"/>
      <c r="D207" s="369"/>
      <c r="E207" s="369"/>
      <c r="F207" s="369"/>
      <c r="G207" s="369"/>
      <c r="H207" s="370"/>
      <c r="I207" s="371"/>
      <c r="J207" s="371"/>
      <c r="K207" s="370"/>
      <c r="L207" s="369"/>
      <c r="M207" s="369"/>
      <c r="N207" s="369"/>
      <c r="O207" s="369"/>
      <c r="P207" s="369"/>
      <c r="Q207" s="369"/>
      <c r="R207" s="369"/>
      <c r="S207" s="369"/>
      <c r="T207" s="369"/>
      <c r="U207" s="369"/>
      <c r="V207" s="369"/>
      <c r="W207" s="369"/>
      <c r="X207" s="369"/>
      <c r="Y207" s="369"/>
      <c r="Z207" s="369"/>
    </row>
    <row r="208" spans="1:26" ht="14.25" customHeight="1">
      <c r="A208" s="369"/>
      <c r="B208" s="369"/>
      <c r="C208" s="369"/>
      <c r="D208" s="369"/>
      <c r="E208" s="369"/>
      <c r="F208" s="369"/>
      <c r="G208" s="369"/>
      <c r="H208" s="370"/>
      <c r="I208" s="371"/>
      <c r="J208" s="371"/>
      <c r="K208" s="370"/>
      <c r="L208" s="369"/>
      <c r="M208" s="369"/>
      <c r="N208" s="369"/>
      <c r="O208" s="369"/>
      <c r="P208" s="369"/>
      <c r="Q208" s="369"/>
      <c r="R208" s="369"/>
      <c r="S208" s="369"/>
      <c r="T208" s="369"/>
      <c r="U208" s="369"/>
      <c r="V208" s="369"/>
      <c r="W208" s="369"/>
      <c r="X208" s="369"/>
      <c r="Y208" s="369"/>
      <c r="Z208" s="369"/>
    </row>
    <row r="209" spans="1:26" ht="14.25" customHeight="1">
      <c r="A209" s="369"/>
      <c r="B209" s="369"/>
      <c r="C209" s="369"/>
      <c r="D209" s="369"/>
      <c r="E209" s="369"/>
      <c r="F209" s="369"/>
      <c r="G209" s="369"/>
      <c r="H209" s="370"/>
      <c r="I209" s="371"/>
      <c r="J209" s="371"/>
      <c r="K209" s="370"/>
      <c r="L209" s="369"/>
      <c r="M209" s="369"/>
      <c r="N209" s="369"/>
      <c r="O209" s="369"/>
      <c r="P209" s="369"/>
      <c r="Q209" s="369"/>
      <c r="R209" s="369"/>
      <c r="S209" s="369"/>
      <c r="T209" s="369"/>
      <c r="U209" s="369"/>
      <c r="V209" s="369"/>
      <c r="W209" s="369"/>
      <c r="X209" s="369"/>
      <c r="Y209" s="369"/>
      <c r="Z209" s="369"/>
    </row>
    <row r="210" spans="1:26" ht="14.25" customHeight="1">
      <c r="A210" s="369"/>
      <c r="B210" s="369"/>
      <c r="C210" s="369"/>
      <c r="D210" s="369"/>
      <c r="E210" s="369"/>
      <c r="F210" s="369"/>
      <c r="G210" s="369"/>
      <c r="H210" s="370"/>
      <c r="I210" s="371"/>
      <c r="J210" s="371"/>
      <c r="K210" s="370"/>
      <c r="L210" s="369"/>
      <c r="M210" s="369"/>
      <c r="N210" s="369"/>
      <c r="O210" s="369"/>
      <c r="P210" s="369"/>
      <c r="Q210" s="369"/>
      <c r="R210" s="369"/>
      <c r="S210" s="369"/>
      <c r="T210" s="369"/>
      <c r="U210" s="369"/>
      <c r="V210" s="369"/>
      <c r="W210" s="369"/>
      <c r="X210" s="369"/>
      <c r="Y210" s="369"/>
      <c r="Z210" s="369"/>
    </row>
    <row r="211" spans="1:26" ht="14.25" customHeight="1">
      <c r="A211" s="369"/>
      <c r="B211" s="369"/>
      <c r="C211" s="369"/>
      <c r="D211" s="369"/>
      <c r="E211" s="369"/>
      <c r="F211" s="369"/>
      <c r="G211" s="369"/>
      <c r="H211" s="370"/>
      <c r="I211" s="371"/>
      <c r="J211" s="371"/>
      <c r="K211" s="370"/>
      <c r="L211" s="369"/>
      <c r="M211" s="369"/>
      <c r="N211" s="369"/>
      <c r="O211" s="369"/>
      <c r="P211" s="369"/>
      <c r="Q211" s="369"/>
      <c r="R211" s="369"/>
      <c r="S211" s="369"/>
      <c r="T211" s="369"/>
      <c r="U211" s="369"/>
      <c r="V211" s="369"/>
      <c r="W211" s="369"/>
      <c r="X211" s="369"/>
      <c r="Y211" s="369"/>
      <c r="Z211" s="369"/>
    </row>
    <row r="212" spans="1:26" ht="14.25" customHeight="1">
      <c r="A212" s="369"/>
      <c r="B212" s="369"/>
      <c r="C212" s="369"/>
      <c r="D212" s="369"/>
      <c r="E212" s="369"/>
      <c r="F212" s="369"/>
      <c r="G212" s="369"/>
      <c r="H212" s="370"/>
      <c r="I212" s="371"/>
      <c r="J212" s="371"/>
      <c r="K212" s="370"/>
      <c r="L212" s="369"/>
      <c r="M212" s="369"/>
      <c r="N212" s="369"/>
      <c r="O212" s="369"/>
      <c r="P212" s="369"/>
      <c r="Q212" s="369"/>
      <c r="R212" s="369"/>
      <c r="S212" s="369"/>
      <c r="T212" s="369"/>
      <c r="U212" s="369"/>
      <c r="V212" s="369"/>
      <c r="W212" s="369"/>
      <c r="X212" s="369"/>
      <c r="Y212" s="369"/>
      <c r="Z212" s="369"/>
    </row>
    <row r="213" spans="1:26" ht="14.25" customHeight="1">
      <c r="A213" s="369"/>
      <c r="B213" s="369"/>
      <c r="C213" s="369"/>
      <c r="D213" s="369"/>
      <c r="E213" s="369"/>
      <c r="F213" s="369"/>
      <c r="G213" s="369"/>
      <c r="H213" s="370"/>
      <c r="I213" s="371"/>
      <c r="J213" s="371"/>
      <c r="K213" s="370"/>
      <c r="L213" s="369"/>
      <c r="M213" s="369"/>
      <c r="N213" s="369"/>
      <c r="O213" s="369"/>
      <c r="P213" s="369"/>
      <c r="Q213" s="369"/>
      <c r="R213" s="369"/>
      <c r="S213" s="369"/>
      <c r="T213" s="369"/>
      <c r="U213" s="369"/>
      <c r="V213" s="369"/>
      <c r="W213" s="369"/>
      <c r="X213" s="369"/>
      <c r="Y213" s="369"/>
      <c r="Z213" s="369"/>
    </row>
    <row r="214" spans="1:26" ht="14.25" customHeight="1">
      <c r="A214" s="369"/>
      <c r="B214" s="369"/>
      <c r="C214" s="369"/>
      <c r="D214" s="369"/>
      <c r="E214" s="369"/>
      <c r="F214" s="369"/>
      <c r="G214" s="369"/>
      <c r="H214" s="370"/>
      <c r="I214" s="371"/>
      <c r="J214" s="371"/>
      <c r="K214" s="370"/>
      <c r="L214" s="369"/>
      <c r="M214" s="369"/>
      <c r="N214" s="369"/>
      <c r="O214" s="369"/>
      <c r="P214" s="369"/>
      <c r="Q214" s="369"/>
      <c r="R214" s="369"/>
      <c r="S214" s="369"/>
      <c r="T214" s="369"/>
      <c r="U214" s="369"/>
      <c r="V214" s="369"/>
      <c r="W214" s="369"/>
      <c r="X214" s="369"/>
      <c r="Y214" s="369"/>
      <c r="Z214" s="369"/>
    </row>
    <row r="215" spans="1:26" ht="14.25" customHeight="1">
      <c r="A215" s="369"/>
      <c r="B215" s="369"/>
      <c r="C215" s="369"/>
      <c r="D215" s="369"/>
      <c r="E215" s="369"/>
      <c r="F215" s="369"/>
      <c r="G215" s="369"/>
      <c r="H215" s="370"/>
      <c r="I215" s="371"/>
      <c r="J215" s="371"/>
      <c r="K215" s="370"/>
      <c r="L215" s="369"/>
      <c r="M215" s="369"/>
      <c r="N215" s="369"/>
      <c r="O215" s="369"/>
      <c r="P215" s="369"/>
      <c r="Q215" s="369"/>
      <c r="R215" s="369"/>
      <c r="S215" s="369"/>
      <c r="T215" s="369"/>
      <c r="U215" s="369"/>
      <c r="V215" s="369"/>
      <c r="W215" s="369"/>
      <c r="X215" s="369"/>
      <c r="Y215" s="369"/>
      <c r="Z215" s="369"/>
    </row>
    <row r="216" spans="1:26" ht="14.25" customHeight="1">
      <c r="A216" s="369"/>
      <c r="B216" s="369"/>
      <c r="C216" s="369"/>
      <c r="D216" s="369"/>
      <c r="E216" s="369"/>
      <c r="F216" s="369"/>
      <c r="G216" s="369"/>
      <c r="H216" s="370"/>
      <c r="I216" s="371"/>
      <c r="J216" s="371"/>
      <c r="K216" s="370"/>
      <c r="L216" s="369"/>
      <c r="M216" s="369"/>
      <c r="N216" s="369"/>
      <c r="O216" s="369"/>
      <c r="P216" s="369"/>
      <c r="Q216" s="369"/>
      <c r="R216" s="369"/>
      <c r="S216" s="369"/>
      <c r="T216" s="369"/>
      <c r="U216" s="369"/>
      <c r="V216" s="369"/>
      <c r="W216" s="369"/>
      <c r="X216" s="369"/>
      <c r="Y216" s="369"/>
      <c r="Z216" s="369"/>
    </row>
    <row r="217" spans="1:26" ht="14.25" customHeight="1">
      <c r="A217" s="369"/>
      <c r="B217" s="369"/>
      <c r="C217" s="369"/>
      <c r="D217" s="369"/>
      <c r="E217" s="369"/>
      <c r="F217" s="369"/>
      <c r="G217" s="369"/>
      <c r="H217" s="370"/>
      <c r="I217" s="371"/>
      <c r="J217" s="371"/>
      <c r="K217" s="370"/>
      <c r="L217" s="369"/>
      <c r="M217" s="369"/>
      <c r="N217" s="369"/>
      <c r="O217" s="369"/>
      <c r="P217" s="369"/>
      <c r="Q217" s="369"/>
      <c r="R217" s="369"/>
      <c r="S217" s="369"/>
      <c r="T217" s="369"/>
      <c r="U217" s="369"/>
      <c r="V217" s="369"/>
      <c r="W217" s="369"/>
      <c r="X217" s="369"/>
      <c r="Y217" s="369"/>
      <c r="Z217" s="369"/>
    </row>
    <row r="218" spans="1:26" ht="14.25" customHeight="1">
      <c r="A218" s="369"/>
      <c r="B218" s="369"/>
      <c r="C218" s="369"/>
      <c r="D218" s="369"/>
      <c r="E218" s="369"/>
      <c r="F218" s="369"/>
      <c r="G218" s="369"/>
      <c r="H218" s="370"/>
      <c r="I218" s="371"/>
      <c r="J218" s="371"/>
      <c r="K218" s="370"/>
      <c r="L218" s="369"/>
      <c r="M218" s="369"/>
      <c r="N218" s="369"/>
      <c r="O218" s="369"/>
      <c r="P218" s="369"/>
      <c r="Q218" s="369"/>
      <c r="R218" s="369"/>
      <c r="S218" s="369"/>
      <c r="T218" s="369"/>
      <c r="U218" s="369"/>
      <c r="V218" s="369"/>
      <c r="W218" s="369"/>
      <c r="X218" s="369"/>
      <c r="Y218" s="369"/>
      <c r="Z218" s="369"/>
    </row>
    <row r="219" spans="1:26" ht="14.25" customHeight="1">
      <c r="A219" s="369"/>
      <c r="B219" s="369"/>
      <c r="C219" s="369"/>
      <c r="D219" s="369"/>
      <c r="E219" s="369"/>
      <c r="F219" s="369"/>
      <c r="G219" s="369"/>
      <c r="H219" s="370"/>
      <c r="I219" s="371"/>
      <c r="J219" s="371"/>
      <c r="K219" s="370"/>
      <c r="L219" s="369"/>
      <c r="M219" s="369"/>
      <c r="N219" s="369"/>
      <c r="O219" s="369"/>
      <c r="P219" s="369"/>
      <c r="Q219" s="369"/>
      <c r="R219" s="369"/>
      <c r="S219" s="369"/>
      <c r="T219" s="369"/>
      <c r="U219" s="369"/>
      <c r="V219" s="369"/>
      <c r="W219" s="369"/>
      <c r="X219" s="369"/>
      <c r="Y219" s="369"/>
      <c r="Z219" s="369"/>
    </row>
    <row r="220" spans="1:26" ht="14.25" customHeight="1">
      <c r="A220" s="369"/>
      <c r="B220" s="369"/>
      <c r="C220" s="369"/>
      <c r="D220" s="369"/>
      <c r="E220" s="369"/>
      <c r="F220" s="369"/>
      <c r="G220" s="369"/>
      <c r="H220" s="370"/>
      <c r="I220" s="371"/>
      <c r="J220" s="371"/>
      <c r="K220" s="370"/>
      <c r="L220" s="369"/>
      <c r="M220" s="369"/>
      <c r="N220" s="369"/>
      <c r="O220" s="369"/>
      <c r="P220" s="369"/>
      <c r="Q220" s="369"/>
      <c r="R220" s="369"/>
      <c r="S220" s="369"/>
      <c r="T220" s="369"/>
      <c r="U220" s="369"/>
      <c r="V220" s="369"/>
      <c r="W220" s="369"/>
      <c r="X220" s="369"/>
      <c r="Y220" s="369"/>
      <c r="Z220" s="369"/>
    </row>
    <row r="221" spans="1:26" ht="14.25" customHeight="1">
      <c r="A221" s="369"/>
      <c r="B221" s="369"/>
      <c r="C221" s="369"/>
      <c r="D221" s="369"/>
      <c r="E221" s="369"/>
      <c r="F221" s="369"/>
      <c r="G221" s="369"/>
      <c r="H221" s="370"/>
      <c r="I221" s="371"/>
      <c r="J221" s="371"/>
      <c r="K221" s="370"/>
      <c r="L221" s="369"/>
      <c r="M221" s="369"/>
      <c r="N221" s="369"/>
      <c r="O221" s="369"/>
      <c r="P221" s="369"/>
      <c r="Q221" s="369"/>
      <c r="R221" s="369"/>
      <c r="S221" s="369"/>
      <c r="T221" s="369"/>
      <c r="U221" s="369"/>
      <c r="V221" s="369"/>
      <c r="W221" s="369"/>
      <c r="X221" s="369"/>
      <c r="Y221" s="369"/>
      <c r="Z221" s="369"/>
    </row>
    <row r="222" spans="1:26" ht="14.25" customHeight="1">
      <c r="A222" s="369"/>
      <c r="B222" s="369"/>
      <c r="C222" s="369"/>
      <c r="D222" s="369"/>
      <c r="E222" s="369"/>
      <c r="F222" s="369"/>
      <c r="G222" s="369"/>
      <c r="H222" s="370"/>
      <c r="I222" s="371"/>
      <c r="J222" s="371"/>
      <c r="K222" s="370"/>
      <c r="L222" s="369"/>
      <c r="M222" s="369"/>
      <c r="N222" s="369"/>
      <c r="O222" s="369"/>
      <c r="P222" s="369"/>
      <c r="Q222" s="369"/>
      <c r="R222" s="369"/>
      <c r="S222" s="369"/>
      <c r="T222" s="369"/>
      <c r="U222" s="369"/>
      <c r="V222" s="369"/>
      <c r="W222" s="369"/>
      <c r="X222" s="369"/>
      <c r="Y222" s="369"/>
      <c r="Z222" s="369"/>
    </row>
    <row r="223" spans="1:26" ht="14.25" customHeight="1">
      <c r="A223" s="369"/>
      <c r="B223" s="369"/>
      <c r="C223" s="369"/>
      <c r="D223" s="369"/>
      <c r="E223" s="369"/>
      <c r="F223" s="369"/>
      <c r="G223" s="369"/>
      <c r="H223" s="370"/>
      <c r="I223" s="371"/>
      <c r="J223" s="371"/>
      <c r="K223" s="370"/>
      <c r="L223" s="369"/>
      <c r="M223" s="369"/>
      <c r="N223" s="369"/>
      <c r="O223" s="369"/>
      <c r="P223" s="369"/>
      <c r="Q223" s="369"/>
      <c r="R223" s="369"/>
      <c r="S223" s="369"/>
      <c r="T223" s="369"/>
      <c r="U223" s="369"/>
      <c r="V223" s="369"/>
      <c r="W223" s="369"/>
      <c r="X223" s="369"/>
      <c r="Y223" s="369"/>
      <c r="Z223" s="369"/>
    </row>
    <row r="224" spans="1:26" ht="14.25" customHeight="1">
      <c r="A224" s="369"/>
      <c r="B224" s="369"/>
      <c r="C224" s="369"/>
      <c r="D224" s="369"/>
      <c r="E224" s="369"/>
      <c r="F224" s="369"/>
      <c r="G224" s="369"/>
      <c r="H224" s="370"/>
      <c r="I224" s="371"/>
      <c r="J224" s="371"/>
      <c r="K224" s="370"/>
      <c r="L224" s="369"/>
      <c r="M224" s="369"/>
      <c r="N224" s="369"/>
      <c r="O224" s="369"/>
      <c r="P224" s="369"/>
      <c r="Q224" s="369"/>
      <c r="R224" s="369"/>
      <c r="S224" s="369"/>
      <c r="T224" s="369"/>
      <c r="U224" s="369"/>
      <c r="V224" s="369"/>
      <c r="W224" s="369"/>
      <c r="X224" s="369"/>
      <c r="Y224" s="369"/>
      <c r="Z224" s="369"/>
    </row>
    <row r="225" spans="1:26" ht="14.25" customHeight="1">
      <c r="A225" s="369"/>
      <c r="B225" s="369"/>
      <c r="C225" s="369"/>
      <c r="D225" s="369"/>
      <c r="E225" s="369"/>
      <c r="F225" s="369"/>
      <c r="G225" s="369"/>
      <c r="H225" s="370"/>
      <c r="I225" s="371"/>
      <c r="J225" s="371"/>
      <c r="K225" s="370"/>
      <c r="L225" s="369"/>
      <c r="M225" s="369"/>
      <c r="N225" s="369"/>
      <c r="O225" s="369"/>
      <c r="P225" s="369"/>
      <c r="Q225" s="369"/>
      <c r="R225" s="369"/>
      <c r="S225" s="369"/>
      <c r="T225" s="369"/>
      <c r="U225" s="369"/>
      <c r="V225" s="369"/>
      <c r="W225" s="369"/>
      <c r="X225" s="369"/>
      <c r="Y225" s="369"/>
      <c r="Z225" s="369"/>
    </row>
    <row r="226" spans="1:26" ht="14.25" customHeight="1">
      <c r="A226" s="369"/>
      <c r="B226" s="369"/>
      <c r="C226" s="369"/>
      <c r="D226" s="369"/>
      <c r="E226" s="369"/>
      <c r="F226" s="369"/>
      <c r="G226" s="369"/>
      <c r="H226" s="370"/>
      <c r="I226" s="371"/>
      <c r="J226" s="371"/>
      <c r="K226" s="370"/>
      <c r="L226" s="369"/>
      <c r="M226" s="369"/>
      <c r="N226" s="369"/>
      <c r="O226" s="369"/>
      <c r="P226" s="369"/>
      <c r="Q226" s="369"/>
      <c r="R226" s="369"/>
      <c r="S226" s="369"/>
      <c r="T226" s="369"/>
      <c r="U226" s="369"/>
      <c r="V226" s="369"/>
      <c r="W226" s="369"/>
      <c r="X226" s="369"/>
      <c r="Y226" s="369"/>
      <c r="Z226" s="369"/>
    </row>
    <row r="227" spans="1:26" ht="14.25" customHeight="1">
      <c r="A227" s="369"/>
      <c r="B227" s="369"/>
      <c r="C227" s="369"/>
      <c r="D227" s="369"/>
      <c r="E227" s="369"/>
      <c r="F227" s="369"/>
      <c r="G227" s="369"/>
      <c r="H227" s="370"/>
      <c r="I227" s="371"/>
      <c r="J227" s="371"/>
      <c r="K227" s="370"/>
      <c r="L227" s="369"/>
      <c r="M227" s="369"/>
      <c r="N227" s="369"/>
      <c r="O227" s="369"/>
      <c r="P227" s="369"/>
      <c r="Q227" s="369"/>
      <c r="R227" s="369"/>
      <c r="S227" s="369"/>
      <c r="T227" s="369"/>
      <c r="U227" s="369"/>
      <c r="V227" s="369"/>
      <c r="W227" s="369"/>
      <c r="X227" s="369"/>
      <c r="Y227" s="369"/>
      <c r="Z227" s="369"/>
    </row>
    <row r="228" spans="1:26" ht="14.25" customHeight="1">
      <c r="A228" s="369"/>
      <c r="B228" s="369"/>
      <c r="C228" s="369"/>
      <c r="D228" s="369"/>
      <c r="E228" s="369"/>
      <c r="F228" s="369"/>
      <c r="G228" s="369"/>
      <c r="H228" s="370"/>
      <c r="I228" s="371"/>
      <c r="J228" s="371"/>
      <c r="K228" s="370"/>
      <c r="L228" s="369"/>
      <c r="M228" s="369"/>
      <c r="N228" s="369"/>
      <c r="O228" s="369"/>
      <c r="P228" s="369"/>
      <c r="Q228" s="369"/>
      <c r="R228" s="369"/>
      <c r="S228" s="369"/>
      <c r="T228" s="369"/>
      <c r="U228" s="369"/>
      <c r="V228" s="369"/>
      <c r="W228" s="369"/>
      <c r="X228" s="369"/>
      <c r="Y228" s="369"/>
      <c r="Z228" s="369"/>
    </row>
    <row r="229" spans="1:26" ht="14.25" customHeight="1">
      <c r="A229" s="369"/>
      <c r="B229" s="369"/>
      <c r="C229" s="369"/>
      <c r="D229" s="369"/>
      <c r="E229" s="369"/>
      <c r="F229" s="369"/>
      <c r="G229" s="369"/>
      <c r="H229" s="370"/>
      <c r="I229" s="371"/>
      <c r="J229" s="371"/>
      <c r="K229" s="370"/>
      <c r="L229" s="369"/>
      <c r="M229" s="369"/>
      <c r="N229" s="369"/>
      <c r="O229" s="369"/>
      <c r="P229" s="369"/>
      <c r="Q229" s="369"/>
      <c r="R229" s="369"/>
      <c r="S229" s="369"/>
      <c r="T229" s="369"/>
      <c r="U229" s="369"/>
      <c r="V229" s="369"/>
      <c r="W229" s="369"/>
      <c r="X229" s="369"/>
      <c r="Y229" s="369"/>
      <c r="Z229" s="369"/>
    </row>
    <row r="230" spans="1:26" ht="14.25" customHeight="1">
      <c r="A230" s="369"/>
      <c r="B230" s="369"/>
      <c r="C230" s="369"/>
      <c r="D230" s="369"/>
      <c r="E230" s="369"/>
      <c r="F230" s="369"/>
      <c r="G230" s="369"/>
      <c r="H230" s="370"/>
      <c r="I230" s="371"/>
      <c r="J230" s="371"/>
      <c r="K230" s="370"/>
      <c r="L230" s="369"/>
      <c r="M230" s="369"/>
      <c r="N230" s="369"/>
      <c r="O230" s="369"/>
      <c r="P230" s="369"/>
      <c r="Q230" s="369"/>
      <c r="R230" s="369"/>
      <c r="S230" s="369"/>
      <c r="T230" s="369"/>
      <c r="U230" s="369"/>
      <c r="V230" s="369"/>
      <c r="W230" s="369"/>
      <c r="X230" s="369"/>
      <c r="Y230" s="369"/>
      <c r="Z230" s="369"/>
    </row>
    <row r="231" spans="1:26" ht="14.25" customHeight="1">
      <c r="A231" s="369"/>
      <c r="B231" s="369"/>
      <c r="C231" s="369"/>
      <c r="D231" s="369"/>
      <c r="E231" s="369"/>
      <c r="F231" s="369"/>
      <c r="G231" s="369"/>
      <c r="H231" s="370"/>
      <c r="I231" s="371"/>
      <c r="J231" s="371"/>
      <c r="K231" s="370"/>
      <c r="L231" s="369"/>
      <c r="M231" s="369"/>
      <c r="N231" s="369"/>
      <c r="O231" s="369"/>
      <c r="P231" s="369"/>
      <c r="Q231" s="369"/>
      <c r="R231" s="369"/>
      <c r="S231" s="369"/>
      <c r="T231" s="369"/>
      <c r="U231" s="369"/>
      <c r="V231" s="369"/>
      <c r="W231" s="369"/>
      <c r="X231" s="369"/>
      <c r="Y231" s="369"/>
      <c r="Z231" s="369"/>
    </row>
    <row r="232" spans="1:26" ht="14.25" customHeight="1">
      <c r="A232" s="369"/>
      <c r="B232" s="369"/>
      <c r="C232" s="369"/>
      <c r="D232" s="369"/>
      <c r="E232" s="369"/>
      <c r="F232" s="369"/>
      <c r="G232" s="369"/>
      <c r="H232" s="370"/>
      <c r="I232" s="371"/>
      <c r="J232" s="371"/>
      <c r="K232" s="370"/>
      <c r="L232" s="369"/>
      <c r="M232" s="369"/>
      <c r="N232" s="369"/>
      <c r="O232" s="369"/>
      <c r="P232" s="369"/>
      <c r="Q232" s="369"/>
      <c r="R232" s="369"/>
      <c r="S232" s="369"/>
      <c r="T232" s="369"/>
      <c r="U232" s="369"/>
      <c r="V232" s="369"/>
      <c r="W232" s="369"/>
      <c r="X232" s="369"/>
      <c r="Y232" s="369"/>
      <c r="Z232" s="369"/>
    </row>
    <row r="233" spans="1:26" ht="14.25" customHeight="1">
      <c r="A233" s="369"/>
      <c r="B233" s="369"/>
      <c r="C233" s="369"/>
      <c r="D233" s="369"/>
      <c r="E233" s="369"/>
      <c r="F233" s="369"/>
      <c r="G233" s="369"/>
      <c r="H233" s="370"/>
      <c r="I233" s="371"/>
      <c r="J233" s="371"/>
      <c r="K233" s="370"/>
      <c r="L233" s="369"/>
      <c r="M233" s="369"/>
      <c r="N233" s="369"/>
      <c r="O233" s="369"/>
      <c r="P233" s="369"/>
      <c r="Q233" s="369"/>
      <c r="R233" s="369"/>
      <c r="S233" s="369"/>
      <c r="T233" s="369"/>
      <c r="U233" s="369"/>
      <c r="V233" s="369"/>
      <c r="W233" s="369"/>
      <c r="X233" s="369"/>
      <c r="Y233" s="369"/>
      <c r="Z233" s="369"/>
    </row>
    <row r="234" spans="1:26" ht="14.25" customHeight="1">
      <c r="A234" s="369"/>
      <c r="B234" s="369"/>
      <c r="C234" s="369"/>
      <c r="D234" s="369"/>
      <c r="E234" s="369"/>
      <c r="F234" s="369"/>
      <c r="G234" s="369"/>
      <c r="H234" s="370"/>
      <c r="I234" s="371"/>
      <c r="J234" s="371"/>
      <c r="K234" s="370"/>
      <c r="L234" s="369"/>
      <c r="M234" s="369"/>
      <c r="N234" s="369"/>
      <c r="O234" s="369"/>
      <c r="P234" s="369"/>
      <c r="Q234" s="369"/>
      <c r="R234" s="369"/>
      <c r="S234" s="369"/>
      <c r="T234" s="369"/>
      <c r="U234" s="369"/>
      <c r="V234" s="369"/>
      <c r="W234" s="369"/>
      <c r="X234" s="369"/>
      <c r="Y234" s="369"/>
      <c r="Z234" s="369"/>
    </row>
    <row r="235" spans="1:26" ht="14.25" customHeight="1">
      <c r="A235" s="369"/>
      <c r="B235" s="369"/>
      <c r="C235" s="369"/>
      <c r="D235" s="369"/>
      <c r="E235" s="369"/>
      <c r="F235" s="369"/>
      <c r="G235" s="369"/>
      <c r="H235" s="370"/>
      <c r="I235" s="371"/>
      <c r="J235" s="371"/>
      <c r="K235" s="370"/>
      <c r="L235" s="369"/>
      <c r="M235" s="369"/>
      <c r="N235" s="369"/>
      <c r="O235" s="369"/>
      <c r="P235" s="369"/>
      <c r="Q235" s="369"/>
      <c r="R235" s="369"/>
      <c r="S235" s="369"/>
      <c r="T235" s="369"/>
      <c r="U235" s="369"/>
      <c r="V235" s="369"/>
      <c r="W235" s="369"/>
      <c r="X235" s="369"/>
      <c r="Y235" s="369"/>
      <c r="Z235" s="369"/>
    </row>
    <row r="236" spans="1:26" ht="14.25" customHeight="1">
      <c r="A236" s="369"/>
      <c r="B236" s="369"/>
      <c r="C236" s="369"/>
      <c r="D236" s="369"/>
      <c r="E236" s="369"/>
      <c r="F236" s="369"/>
      <c r="G236" s="369"/>
      <c r="H236" s="370"/>
      <c r="I236" s="371"/>
      <c r="J236" s="371"/>
      <c r="K236" s="370"/>
      <c r="L236" s="369"/>
      <c r="M236" s="369"/>
      <c r="N236" s="369"/>
      <c r="O236" s="369"/>
      <c r="P236" s="369"/>
      <c r="Q236" s="369"/>
      <c r="R236" s="369"/>
      <c r="S236" s="369"/>
      <c r="T236" s="369"/>
      <c r="U236" s="369"/>
      <c r="V236" s="369"/>
      <c r="W236" s="369"/>
      <c r="X236" s="369"/>
      <c r="Y236" s="369"/>
      <c r="Z236" s="369"/>
    </row>
    <row r="237" spans="1:26" ht="14.25" customHeight="1">
      <c r="A237" s="369"/>
      <c r="B237" s="369"/>
      <c r="C237" s="369"/>
      <c r="D237" s="369"/>
      <c r="E237" s="369"/>
      <c r="F237" s="369"/>
      <c r="G237" s="369"/>
      <c r="H237" s="370"/>
      <c r="I237" s="371"/>
      <c r="J237" s="371"/>
      <c r="K237" s="370"/>
      <c r="L237" s="369"/>
      <c r="M237" s="369"/>
      <c r="N237" s="369"/>
      <c r="O237" s="369"/>
      <c r="P237" s="369"/>
      <c r="Q237" s="369"/>
      <c r="R237" s="369"/>
      <c r="S237" s="369"/>
      <c r="T237" s="369"/>
      <c r="U237" s="369"/>
      <c r="V237" s="369"/>
      <c r="W237" s="369"/>
      <c r="X237" s="369"/>
      <c r="Y237" s="369"/>
      <c r="Z237" s="369"/>
    </row>
    <row r="238" spans="1:26" ht="14.25" customHeight="1">
      <c r="A238" s="369"/>
      <c r="B238" s="369"/>
      <c r="C238" s="369"/>
      <c r="D238" s="369"/>
      <c r="E238" s="369"/>
      <c r="F238" s="369"/>
      <c r="G238" s="369"/>
      <c r="H238" s="370"/>
      <c r="I238" s="371"/>
      <c r="J238" s="371"/>
      <c r="K238" s="370"/>
      <c r="L238" s="369"/>
      <c r="M238" s="369"/>
      <c r="N238" s="369"/>
      <c r="O238" s="369"/>
      <c r="P238" s="369"/>
      <c r="Q238" s="369"/>
      <c r="R238" s="369"/>
      <c r="S238" s="369"/>
      <c r="T238" s="369"/>
      <c r="U238" s="369"/>
      <c r="V238" s="369"/>
      <c r="W238" s="369"/>
      <c r="X238" s="369"/>
      <c r="Y238" s="369"/>
      <c r="Z238" s="369"/>
    </row>
    <row r="239" spans="1:26" ht="14.25" customHeight="1">
      <c r="A239" s="369"/>
      <c r="B239" s="369"/>
      <c r="C239" s="369"/>
      <c r="D239" s="369"/>
      <c r="E239" s="369"/>
      <c r="F239" s="369"/>
      <c r="G239" s="369"/>
      <c r="H239" s="370"/>
      <c r="I239" s="371"/>
      <c r="J239" s="371"/>
      <c r="K239" s="370"/>
      <c r="L239" s="369"/>
      <c r="M239" s="369"/>
      <c r="N239" s="369"/>
      <c r="O239" s="369"/>
      <c r="P239" s="369"/>
      <c r="Q239" s="369"/>
      <c r="R239" s="369"/>
      <c r="S239" s="369"/>
      <c r="T239" s="369"/>
      <c r="U239" s="369"/>
      <c r="V239" s="369"/>
      <c r="W239" s="369"/>
      <c r="X239" s="369"/>
      <c r="Y239" s="369"/>
      <c r="Z239" s="369"/>
    </row>
    <row r="240" spans="1:26" ht="14.25" customHeight="1">
      <c r="A240" s="369"/>
      <c r="B240" s="369"/>
      <c r="C240" s="369"/>
      <c r="D240" s="369"/>
      <c r="E240" s="369"/>
      <c r="F240" s="369"/>
      <c r="G240" s="369"/>
      <c r="H240" s="370"/>
      <c r="I240" s="371"/>
      <c r="J240" s="371"/>
      <c r="K240" s="370"/>
      <c r="L240" s="369"/>
      <c r="M240" s="369"/>
      <c r="N240" s="369"/>
      <c r="O240" s="369"/>
      <c r="P240" s="369"/>
      <c r="Q240" s="369"/>
      <c r="R240" s="369"/>
      <c r="S240" s="369"/>
      <c r="T240" s="369"/>
      <c r="U240" s="369"/>
      <c r="V240" s="369"/>
      <c r="W240" s="369"/>
      <c r="X240" s="369"/>
      <c r="Y240" s="369"/>
      <c r="Z240" s="369"/>
    </row>
    <row r="241" spans="1:26" ht="14.25" customHeight="1">
      <c r="A241" s="369"/>
      <c r="B241" s="369"/>
      <c r="C241" s="369"/>
      <c r="D241" s="369"/>
      <c r="E241" s="369"/>
      <c r="F241" s="369"/>
      <c r="G241" s="369"/>
      <c r="H241" s="370"/>
      <c r="I241" s="371"/>
      <c r="J241" s="371"/>
      <c r="K241" s="370"/>
      <c r="L241" s="369"/>
      <c r="M241" s="369"/>
      <c r="N241" s="369"/>
      <c r="O241" s="369"/>
      <c r="P241" s="369"/>
      <c r="Q241" s="369"/>
      <c r="R241" s="369"/>
      <c r="S241" s="369"/>
      <c r="T241" s="369"/>
      <c r="U241" s="369"/>
      <c r="V241" s="369"/>
      <c r="W241" s="369"/>
      <c r="X241" s="369"/>
      <c r="Y241" s="369"/>
      <c r="Z241" s="369"/>
    </row>
    <row r="242" spans="1:26" ht="14.25" customHeight="1">
      <c r="A242" s="369"/>
      <c r="B242" s="369"/>
      <c r="C242" s="369"/>
      <c r="D242" s="369"/>
      <c r="E242" s="369"/>
      <c r="F242" s="369"/>
      <c r="G242" s="369"/>
      <c r="H242" s="370"/>
      <c r="I242" s="371"/>
      <c r="J242" s="371"/>
      <c r="K242" s="370"/>
      <c r="L242" s="369"/>
      <c r="M242" s="369"/>
      <c r="N242" s="369"/>
      <c r="O242" s="369"/>
      <c r="P242" s="369"/>
      <c r="Q242" s="369"/>
      <c r="R242" s="369"/>
      <c r="S242" s="369"/>
      <c r="T242" s="369"/>
      <c r="U242" s="369"/>
      <c r="V242" s="369"/>
      <c r="W242" s="369"/>
      <c r="X242" s="369"/>
      <c r="Y242" s="369"/>
      <c r="Z242" s="369"/>
    </row>
    <row r="243" spans="1:26" ht="14.25" customHeight="1">
      <c r="A243" s="369"/>
      <c r="B243" s="369"/>
      <c r="C243" s="369"/>
      <c r="D243" s="369"/>
      <c r="E243" s="369"/>
      <c r="F243" s="369"/>
      <c r="G243" s="369"/>
      <c r="H243" s="370"/>
      <c r="I243" s="371"/>
      <c r="J243" s="371"/>
      <c r="K243" s="370"/>
      <c r="L243" s="369"/>
      <c r="M243" s="369"/>
      <c r="N243" s="369"/>
      <c r="O243" s="369"/>
      <c r="P243" s="369"/>
      <c r="Q243" s="369"/>
      <c r="R243" s="369"/>
      <c r="S243" s="369"/>
      <c r="T243" s="369"/>
      <c r="U243" s="369"/>
      <c r="V243" s="369"/>
      <c r="W243" s="369"/>
      <c r="X243" s="369"/>
      <c r="Y243" s="369"/>
      <c r="Z243" s="369"/>
    </row>
    <row r="244" spans="1:26" ht="14.25" customHeight="1">
      <c r="A244" s="369"/>
      <c r="B244" s="369"/>
      <c r="C244" s="369"/>
      <c r="D244" s="369"/>
      <c r="E244" s="369"/>
      <c r="F244" s="369"/>
      <c r="G244" s="369"/>
      <c r="H244" s="370"/>
      <c r="I244" s="371"/>
      <c r="J244" s="371"/>
      <c r="K244" s="370"/>
      <c r="L244" s="369"/>
      <c r="M244" s="369"/>
      <c r="N244" s="369"/>
      <c r="O244" s="369"/>
      <c r="P244" s="369"/>
      <c r="Q244" s="369"/>
      <c r="R244" s="369"/>
      <c r="S244" s="369"/>
      <c r="T244" s="369"/>
      <c r="U244" s="369"/>
      <c r="V244" s="369"/>
      <c r="W244" s="369"/>
      <c r="X244" s="369"/>
      <c r="Y244" s="369"/>
      <c r="Z244" s="369"/>
    </row>
    <row r="245" spans="1:26" ht="14.25" customHeight="1">
      <c r="A245" s="369"/>
      <c r="B245" s="369"/>
      <c r="C245" s="369"/>
      <c r="D245" s="369"/>
      <c r="E245" s="369"/>
      <c r="F245" s="369"/>
      <c r="G245" s="369"/>
      <c r="H245" s="370"/>
      <c r="I245" s="371"/>
      <c r="J245" s="371"/>
      <c r="K245" s="370"/>
      <c r="L245" s="369"/>
      <c r="M245" s="369"/>
      <c r="N245" s="369"/>
      <c r="O245" s="369"/>
      <c r="P245" s="369"/>
      <c r="Q245" s="369"/>
      <c r="R245" s="369"/>
      <c r="S245" s="369"/>
      <c r="T245" s="369"/>
      <c r="U245" s="369"/>
      <c r="V245" s="369"/>
      <c r="W245" s="369"/>
      <c r="X245" s="369"/>
      <c r="Y245" s="369"/>
      <c r="Z245" s="369"/>
    </row>
    <row r="246" spans="1:26" ht="14.25" customHeight="1">
      <c r="A246" s="369"/>
      <c r="B246" s="369"/>
      <c r="C246" s="369"/>
      <c r="D246" s="369"/>
      <c r="E246" s="369"/>
      <c r="F246" s="369"/>
      <c r="G246" s="369"/>
      <c r="H246" s="370"/>
      <c r="I246" s="371"/>
      <c r="J246" s="371"/>
      <c r="K246" s="370"/>
      <c r="L246" s="369"/>
      <c r="M246" s="369"/>
      <c r="N246" s="369"/>
      <c r="O246" s="369"/>
      <c r="P246" s="369"/>
      <c r="Q246" s="369"/>
      <c r="R246" s="369"/>
      <c r="S246" s="369"/>
      <c r="T246" s="369"/>
      <c r="U246" s="369"/>
      <c r="V246" s="369"/>
      <c r="W246" s="369"/>
      <c r="X246" s="369"/>
      <c r="Y246" s="369"/>
      <c r="Z246" s="369"/>
    </row>
    <row r="247" spans="1:26" ht="14.25" customHeight="1">
      <c r="A247" s="369"/>
      <c r="B247" s="369"/>
      <c r="C247" s="369"/>
      <c r="D247" s="369"/>
      <c r="E247" s="369"/>
      <c r="F247" s="369"/>
      <c r="G247" s="369"/>
      <c r="H247" s="370"/>
      <c r="I247" s="371"/>
      <c r="J247" s="371"/>
      <c r="K247" s="370"/>
      <c r="L247" s="369"/>
      <c r="M247" s="369"/>
      <c r="N247" s="369"/>
      <c r="O247" s="369"/>
      <c r="P247" s="369"/>
      <c r="Q247" s="369"/>
      <c r="R247" s="369"/>
      <c r="S247" s="369"/>
      <c r="T247" s="369"/>
      <c r="U247" s="369"/>
      <c r="V247" s="369"/>
      <c r="W247" s="369"/>
      <c r="X247" s="369"/>
      <c r="Y247" s="369"/>
      <c r="Z247" s="369"/>
    </row>
    <row r="248" spans="1:26" ht="14.25" customHeight="1">
      <c r="A248" s="369"/>
      <c r="B248" s="369"/>
      <c r="C248" s="369"/>
      <c r="D248" s="369"/>
      <c r="E248" s="369"/>
      <c r="F248" s="369"/>
      <c r="G248" s="369"/>
      <c r="H248" s="370"/>
      <c r="I248" s="371"/>
      <c r="J248" s="371"/>
      <c r="K248" s="370"/>
      <c r="L248" s="369"/>
      <c r="M248" s="369"/>
      <c r="N248" s="369"/>
      <c r="O248" s="369"/>
      <c r="P248" s="369"/>
      <c r="Q248" s="369"/>
      <c r="R248" s="369"/>
      <c r="S248" s="369"/>
      <c r="T248" s="369"/>
      <c r="U248" s="369"/>
      <c r="V248" s="369"/>
      <c r="W248" s="369"/>
      <c r="X248" s="369"/>
      <c r="Y248" s="369"/>
      <c r="Z248" s="369"/>
    </row>
    <row r="249" spans="1:26" ht="14.25" customHeight="1">
      <c r="A249" s="369"/>
      <c r="B249" s="369"/>
      <c r="C249" s="369"/>
      <c r="D249" s="369"/>
      <c r="E249" s="369"/>
      <c r="F249" s="369"/>
      <c r="G249" s="369"/>
      <c r="H249" s="370"/>
      <c r="I249" s="371"/>
      <c r="J249" s="371"/>
      <c r="K249" s="370"/>
      <c r="L249" s="369"/>
      <c r="M249" s="369"/>
      <c r="N249" s="369"/>
      <c r="O249" s="369"/>
      <c r="P249" s="369"/>
      <c r="Q249" s="369"/>
      <c r="R249" s="369"/>
      <c r="S249" s="369"/>
      <c r="T249" s="369"/>
      <c r="U249" s="369"/>
      <c r="V249" s="369"/>
      <c r="W249" s="369"/>
      <c r="X249" s="369"/>
      <c r="Y249" s="369"/>
      <c r="Z249" s="369"/>
    </row>
    <row r="250" spans="1:26" ht="14.25" customHeight="1">
      <c r="A250" s="369"/>
      <c r="B250" s="369"/>
      <c r="C250" s="369"/>
      <c r="D250" s="369"/>
      <c r="E250" s="369"/>
      <c r="F250" s="369"/>
      <c r="G250" s="369"/>
      <c r="H250" s="370"/>
      <c r="I250" s="371"/>
      <c r="J250" s="371"/>
      <c r="K250" s="370"/>
      <c r="L250" s="369"/>
      <c r="M250" s="369"/>
      <c r="N250" s="369"/>
      <c r="O250" s="369"/>
      <c r="P250" s="369"/>
      <c r="Q250" s="369"/>
      <c r="R250" s="369"/>
      <c r="S250" s="369"/>
      <c r="T250" s="369"/>
      <c r="U250" s="369"/>
      <c r="V250" s="369"/>
      <c r="W250" s="369"/>
      <c r="X250" s="369"/>
      <c r="Y250" s="369"/>
      <c r="Z250" s="369"/>
    </row>
    <row r="251" spans="1:26" ht="14.25" customHeight="1">
      <c r="A251" s="369"/>
      <c r="B251" s="369"/>
      <c r="C251" s="369"/>
      <c r="D251" s="369"/>
      <c r="E251" s="369"/>
      <c r="F251" s="369"/>
      <c r="G251" s="369"/>
      <c r="H251" s="370"/>
      <c r="I251" s="371"/>
      <c r="J251" s="371"/>
      <c r="K251" s="370"/>
      <c r="L251" s="369"/>
      <c r="M251" s="369"/>
      <c r="N251" s="369"/>
      <c r="O251" s="369"/>
      <c r="P251" s="369"/>
      <c r="Q251" s="369"/>
      <c r="R251" s="369"/>
      <c r="S251" s="369"/>
      <c r="T251" s="369"/>
      <c r="U251" s="369"/>
      <c r="V251" s="369"/>
      <c r="W251" s="369"/>
      <c r="X251" s="369"/>
      <c r="Y251" s="369"/>
      <c r="Z251" s="369"/>
    </row>
    <row r="252" spans="1:26" ht="14.25" customHeight="1">
      <c r="A252" s="369"/>
      <c r="B252" s="369"/>
      <c r="C252" s="369"/>
      <c r="D252" s="369"/>
      <c r="E252" s="369"/>
      <c r="F252" s="369"/>
      <c r="G252" s="369"/>
      <c r="H252" s="370"/>
      <c r="I252" s="371"/>
      <c r="J252" s="371"/>
      <c r="K252" s="370"/>
      <c r="L252" s="369"/>
      <c r="M252" s="369"/>
      <c r="N252" s="369"/>
      <c r="O252" s="369"/>
      <c r="P252" s="369"/>
      <c r="Q252" s="369"/>
      <c r="R252" s="369"/>
      <c r="S252" s="369"/>
      <c r="T252" s="369"/>
      <c r="U252" s="369"/>
      <c r="V252" s="369"/>
      <c r="W252" s="369"/>
      <c r="X252" s="369"/>
      <c r="Y252" s="369"/>
      <c r="Z252" s="369"/>
    </row>
    <row r="253" spans="1:26" ht="14.25" customHeight="1">
      <c r="A253" s="369"/>
      <c r="B253" s="369"/>
      <c r="C253" s="369"/>
      <c r="D253" s="369"/>
      <c r="E253" s="369"/>
      <c r="F253" s="369"/>
      <c r="G253" s="369"/>
      <c r="H253" s="370"/>
      <c r="I253" s="371"/>
      <c r="J253" s="371"/>
      <c r="K253" s="370"/>
      <c r="L253" s="369"/>
      <c r="M253" s="369"/>
      <c r="N253" s="369"/>
      <c r="O253" s="369"/>
      <c r="P253" s="369"/>
      <c r="Q253" s="369"/>
      <c r="R253" s="369"/>
      <c r="S253" s="369"/>
      <c r="T253" s="369"/>
      <c r="U253" s="369"/>
      <c r="V253" s="369"/>
      <c r="W253" s="369"/>
      <c r="X253" s="369"/>
      <c r="Y253" s="369"/>
      <c r="Z253" s="369"/>
    </row>
    <row r="254" spans="1:26" ht="14.25" customHeight="1">
      <c r="A254" s="369"/>
      <c r="B254" s="369"/>
      <c r="C254" s="369"/>
      <c r="D254" s="369"/>
      <c r="E254" s="369"/>
      <c r="F254" s="369"/>
      <c r="G254" s="369"/>
      <c r="H254" s="370"/>
      <c r="I254" s="371"/>
      <c r="J254" s="371"/>
      <c r="K254" s="370"/>
      <c r="L254" s="369"/>
      <c r="M254" s="369"/>
      <c r="N254" s="369"/>
      <c r="O254" s="369"/>
      <c r="P254" s="369"/>
      <c r="Q254" s="369"/>
      <c r="R254" s="369"/>
      <c r="S254" s="369"/>
      <c r="T254" s="369"/>
      <c r="U254" s="369"/>
      <c r="V254" s="369"/>
      <c r="W254" s="369"/>
      <c r="X254" s="369"/>
      <c r="Y254" s="369"/>
      <c r="Z254" s="369"/>
    </row>
    <row r="255" spans="1:26" ht="14.25" customHeight="1">
      <c r="A255" s="369"/>
      <c r="B255" s="369"/>
      <c r="C255" s="369"/>
      <c r="D255" s="369"/>
      <c r="E255" s="369"/>
      <c r="F255" s="369"/>
      <c r="G255" s="369"/>
      <c r="H255" s="370"/>
      <c r="I255" s="371"/>
      <c r="J255" s="371"/>
      <c r="K255" s="370"/>
      <c r="L255" s="369"/>
      <c r="M255" s="369"/>
      <c r="N255" s="369"/>
      <c r="O255" s="369"/>
      <c r="P255" s="369"/>
      <c r="Q255" s="369"/>
      <c r="R255" s="369"/>
      <c r="S255" s="369"/>
      <c r="T255" s="369"/>
      <c r="U255" s="369"/>
      <c r="V255" s="369"/>
      <c r="W255" s="369"/>
      <c r="X255" s="369"/>
      <c r="Y255" s="369"/>
      <c r="Z255" s="369"/>
    </row>
    <row r="256" spans="1:26" ht="14.25" customHeight="1">
      <c r="A256" s="369"/>
      <c r="B256" s="369"/>
      <c r="C256" s="369"/>
      <c r="D256" s="369"/>
      <c r="E256" s="369"/>
      <c r="F256" s="369"/>
      <c r="G256" s="369"/>
      <c r="H256" s="370"/>
      <c r="I256" s="371"/>
      <c r="J256" s="371"/>
      <c r="K256" s="370"/>
      <c r="L256" s="369"/>
      <c r="M256" s="369"/>
      <c r="N256" s="369"/>
      <c r="O256" s="369"/>
      <c r="P256" s="369"/>
      <c r="Q256" s="369"/>
      <c r="R256" s="369"/>
      <c r="S256" s="369"/>
      <c r="T256" s="369"/>
      <c r="U256" s="369"/>
      <c r="V256" s="369"/>
      <c r="W256" s="369"/>
      <c r="X256" s="369"/>
      <c r="Y256" s="369"/>
      <c r="Z256" s="369"/>
    </row>
    <row r="257" spans="1:26" ht="14.25" customHeight="1">
      <c r="A257" s="369"/>
      <c r="B257" s="369"/>
      <c r="C257" s="369"/>
      <c r="D257" s="369"/>
      <c r="E257" s="369"/>
      <c r="F257" s="369"/>
      <c r="G257" s="369"/>
      <c r="H257" s="370"/>
      <c r="I257" s="371"/>
      <c r="J257" s="371"/>
      <c r="K257" s="370"/>
      <c r="L257" s="369"/>
      <c r="M257" s="369"/>
      <c r="N257" s="369"/>
      <c r="O257" s="369"/>
      <c r="P257" s="369"/>
      <c r="Q257" s="369"/>
      <c r="R257" s="369"/>
      <c r="S257" s="369"/>
      <c r="T257" s="369"/>
      <c r="U257" s="369"/>
      <c r="V257" s="369"/>
      <c r="W257" s="369"/>
      <c r="X257" s="369"/>
      <c r="Y257" s="369"/>
      <c r="Z257" s="369"/>
    </row>
    <row r="258" spans="1:26" ht="14.25" customHeight="1">
      <c r="A258" s="369"/>
      <c r="B258" s="369"/>
      <c r="C258" s="369"/>
      <c r="D258" s="369"/>
      <c r="E258" s="369"/>
      <c r="F258" s="369"/>
      <c r="G258" s="369"/>
      <c r="H258" s="370"/>
      <c r="I258" s="371"/>
      <c r="J258" s="371"/>
      <c r="K258" s="370"/>
      <c r="L258" s="369"/>
      <c r="M258" s="369"/>
      <c r="N258" s="369"/>
      <c r="O258" s="369"/>
      <c r="P258" s="369"/>
      <c r="Q258" s="369"/>
      <c r="R258" s="369"/>
      <c r="S258" s="369"/>
      <c r="T258" s="369"/>
      <c r="U258" s="369"/>
      <c r="V258" s="369"/>
      <c r="W258" s="369"/>
      <c r="X258" s="369"/>
      <c r="Y258" s="369"/>
      <c r="Z258" s="369"/>
    </row>
    <row r="259" spans="1:26" ht="14.25" customHeight="1">
      <c r="A259" s="369"/>
      <c r="B259" s="369"/>
      <c r="C259" s="369"/>
      <c r="D259" s="369"/>
      <c r="E259" s="369"/>
      <c r="F259" s="369"/>
      <c r="G259" s="369"/>
      <c r="H259" s="370"/>
      <c r="I259" s="371"/>
      <c r="J259" s="371"/>
      <c r="K259" s="370"/>
      <c r="L259" s="369"/>
      <c r="M259" s="369"/>
      <c r="N259" s="369"/>
      <c r="O259" s="369"/>
      <c r="P259" s="369"/>
      <c r="Q259" s="369"/>
      <c r="R259" s="369"/>
      <c r="S259" s="369"/>
      <c r="T259" s="369"/>
      <c r="U259" s="369"/>
      <c r="V259" s="369"/>
      <c r="W259" s="369"/>
      <c r="X259" s="369"/>
      <c r="Y259" s="369"/>
      <c r="Z259" s="369"/>
    </row>
    <row r="260" spans="1:26" ht="14.25" customHeight="1">
      <c r="A260" s="369"/>
      <c r="B260" s="369"/>
      <c r="C260" s="369"/>
      <c r="D260" s="369"/>
      <c r="E260" s="369"/>
      <c r="F260" s="369"/>
      <c r="G260" s="369"/>
      <c r="H260" s="370"/>
      <c r="I260" s="371"/>
      <c r="J260" s="371"/>
      <c r="K260" s="370"/>
      <c r="L260" s="369"/>
      <c r="M260" s="369"/>
      <c r="N260" s="369"/>
      <c r="O260" s="369"/>
      <c r="P260" s="369"/>
      <c r="Q260" s="369"/>
      <c r="R260" s="369"/>
      <c r="S260" s="369"/>
      <c r="T260" s="369"/>
      <c r="U260" s="369"/>
      <c r="V260" s="369"/>
      <c r="W260" s="369"/>
      <c r="X260" s="369"/>
      <c r="Y260" s="369"/>
      <c r="Z260" s="369"/>
    </row>
    <row r="261" spans="1:26" ht="14.25" customHeight="1">
      <c r="A261" s="369"/>
      <c r="B261" s="369"/>
      <c r="C261" s="369"/>
      <c r="D261" s="369"/>
      <c r="E261" s="369"/>
      <c r="F261" s="369"/>
      <c r="G261" s="369"/>
      <c r="H261" s="370"/>
      <c r="I261" s="371"/>
      <c r="J261" s="371"/>
      <c r="K261" s="370"/>
      <c r="L261" s="369"/>
      <c r="M261" s="369"/>
      <c r="N261" s="369"/>
      <c r="O261" s="369"/>
      <c r="P261" s="369"/>
      <c r="Q261" s="369"/>
      <c r="R261" s="369"/>
      <c r="S261" s="369"/>
      <c r="T261" s="369"/>
      <c r="U261" s="369"/>
      <c r="V261" s="369"/>
      <c r="W261" s="369"/>
      <c r="X261" s="369"/>
      <c r="Y261" s="369"/>
      <c r="Z261" s="369"/>
    </row>
    <row r="262" spans="1:26" ht="14.25" customHeight="1">
      <c r="A262" s="369"/>
      <c r="B262" s="369"/>
      <c r="C262" s="369"/>
      <c r="D262" s="369"/>
      <c r="E262" s="369"/>
      <c r="F262" s="369"/>
      <c r="G262" s="369"/>
      <c r="H262" s="370"/>
      <c r="I262" s="371"/>
      <c r="J262" s="371"/>
      <c r="K262" s="370"/>
      <c r="L262" s="369"/>
      <c r="M262" s="369"/>
      <c r="N262" s="369"/>
      <c r="O262" s="369"/>
      <c r="P262" s="369"/>
      <c r="Q262" s="369"/>
      <c r="R262" s="369"/>
      <c r="S262" s="369"/>
      <c r="T262" s="369"/>
      <c r="U262" s="369"/>
      <c r="V262" s="369"/>
      <c r="W262" s="369"/>
      <c r="X262" s="369"/>
      <c r="Y262" s="369"/>
      <c r="Z262" s="369"/>
    </row>
    <row r="263" spans="1:26" ht="14.25" customHeight="1">
      <c r="A263" s="369"/>
      <c r="B263" s="369"/>
      <c r="C263" s="369"/>
      <c r="D263" s="369"/>
      <c r="E263" s="369"/>
      <c r="F263" s="369"/>
      <c r="G263" s="369"/>
      <c r="H263" s="370"/>
      <c r="I263" s="371"/>
      <c r="J263" s="371"/>
      <c r="K263" s="370"/>
      <c r="L263" s="369"/>
      <c r="M263" s="369"/>
      <c r="N263" s="369"/>
      <c r="O263" s="369"/>
      <c r="P263" s="369"/>
      <c r="Q263" s="369"/>
      <c r="R263" s="369"/>
      <c r="S263" s="369"/>
      <c r="T263" s="369"/>
      <c r="U263" s="369"/>
      <c r="V263" s="369"/>
      <c r="W263" s="369"/>
      <c r="X263" s="369"/>
      <c r="Y263" s="369"/>
      <c r="Z263" s="369"/>
    </row>
    <row r="264" spans="1:26" ht="14.25" customHeight="1">
      <c r="A264" s="369"/>
      <c r="B264" s="369"/>
      <c r="C264" s="369"/>
      <c r="D264" s="369"/>
      <c r="E264" s="369"/>
      <c r="F264" s="369"/>
      <c r="G264" s="369"/>
      <c r="H264" s="370"/>
      <c r="I264" s="371"/>
      <c r="J264" s="371"/>
      <c r="K264" s="370"/>
      <c r="L264" s="369"/>
      <c r="M264" s="369"/>
      <c r="N264" s="369"/>
      <c r="O264" s="369"/>
      <c r="P264" s="369"/>
      <c r="Q264" s="369"/>
      <c r="R264" s="369"/>
      <c r="S264" s="369"/>
      <c r="T264" s="369"/>
      <c r="U264" s="369"/>
      <c r="V264" s="369"/>
      <c r="W264" s="369"/>
      <c r="X264" s="369"/>
      <c r="Y264" s="369"/>
      <c r="Z264" s="369"/>
    </row>
    <row r="265" spans="1:26" ht="14.25" customHeight="1">
      <c r="A265" s="369"/>
      <c r="B265" s="369"/>
      <c r="C265" s="369"/>
      <c r="D265" s="369"/>
      <c r="E265" s="369"/>
      <c r="F265" s="369"/>
      <c r="G265" s="369"/>
      <c r="H265" s="370"/>
      <c r="I265" s="371"/>
      <c r="J265" s="371"/>
      <c r="K265" s="370"/>
      <c r="L265" s="369"/>
      <c r="M265" s="369"/>
      <c r="N265" s="369"/>
      <c r="O265" s="369"/>
      <c r="P265" s="369"/>
      <c r="Q265" s="369"/>
      <c r="R265" s="369"/>
      <c r="S265" s="369"/>
      <c r="T265" s="369"/>
      <c r="U265" s="369"/>
      <c r="V265" s="369"/>
      <c r="W265" s="369"/>
      <c r="X265" s="369"/>
      <c r="Y265" s="369"/>
      <c r="Z265" s="369"/>
    </row>
    <row r="266" spans="1:26" ht="14.25" customHeight="1">
      <c r="A266" s="369"/>
      <c r="B266" s="369"/>
      <c r="C266" s="369"/>
      <c r="D266" s="369"/>
      <c r="E266" s="369"/>
      <c r="F266" s="369"/>
      <c r="G266" s="369"/>
      <c r="H266" s="370"/>
      <c r="I266" s="371"/>
      <c r="J266" s="371"/>
      <c r="K266" s="370"/>
      <c r="L266" s="369"/>
      <c r="M266" s="369"/>
      <c r="N266" s="369"/>
      <c r="O266" s="369"/>
      <c r="P266" s="369"/>
      <c r="Q266" s="369"/>
      <c r="R266" s="369"/>
      <c r="S266" s="369"/>
      <c r="T266" s="369"/>
      <c r="U266" s="369"/>
      <c r="V266" s="369"/>
      <c r="W266" s="369"/>
      <c r="X266" s="369"/>
      <c r="Y266" s="369"/>
      <c r="Z266" s="369"/>
    </row>
    <row r="267" spans="1:26" ht="14.25" customHeight="1">
      <c r="A267" s="369"/>
      <c r="B267" s="369"/>
      <c r="C267" s="369"/>
      <c r="D267" s="369"/>
      <c r="E267" s="369"/>
      <c r="F267" s="369"/>
      <c r="G267" s="369"/>
      <c r="H267" s="370"/>
      <c r="I267" s="371"/>
      <c r="J267" s="371"/>
      <c r="K267" s="370"/>
      <c r="L267" s="369"/>
      <c r="M267" s="369"/>
      <c r="N267" s="369"/>
      <c r="O267" s="369"/>
      <c r="P267" s="369"/>
      <c r="Q267" s="369"/>
      <c r="R267" s="369"/>
      <c r="S267" s="369"/>
      <c r="T267" s="369"/>
      <c r="U267" s="369"/>
      <c r="V267" s="369"/>
      <c r="W267" s="369"/>
      <c r="X267" s="369"/>
      <c r="Y267" s="369"/>
      <c r="Z267" s="369"/>
    </row>
    <row r="268" spans="1:26" ht="14.25" customHeight="1">
      <c r="A268" s="369"/>
      <c r="B268" s="369"/>
      <c r="C268" s="369"/>
      <c r="D268" s="369"/>
      <c r="E268" s="369"/>
      <c r="F268" s="369"/>
      <c r="G268" s="369"/>
      <c r="H268" s="370"/>
      <c r="I268" s="371"/>
      <c r="J268" s="371"/>
      <c r="K268" s="370"/>
      <c r="L268" s="369"/>
      <c r="M268" s="369"/>
      <c r="N268" s="369"/>
      <c r="O268" s="369"/>
      <c r="P268" s="369"/>
      <c r="Q268" s="369"/>
      <c r="R268" s="369"/>
      <c r="S268" s="369"/>
      <c r="T268" s="369"/>
      <c r="U268" s="369"/>
      <c r="V268" s="369"/>
      <c r="W268" s="369"/>
      <c r="X268" s="369"/>
      <c r="Y268" s="369"/>
      <c r="Z268" s="369"/>
    </row>
    <row r="269" spans="1:26" ht="14.25" customHeight="1">
      <c r="A269" s="369"/>
      <c r="B269" s="369"/>
      <c r="C269" s="369"/>
      <c r="D269" s="369"/>
      <c r="E269" s="369"/>
      <c r="F269" s="369"/>
      <c r="G269" s="369"/>
      <c r="H269" s="370"/>
      <c r="I269" s="371"/>
      <c r="J269" s="371"/>
      <c r="K269" s="370"/>
      <c r="L269" s="369"/>
      <c r="M269" s="369"/>
      <c r="N269" s="369"/>
      <c r="O269" s="369"/>
      <c r="P269" s="369"/>
      <c r="Q269" s="369"/>
      <c r="R269" s="369"/>
      <c r="S269" s="369"/>
      <c r="T269" s="369"/>
      <c r="U269" s="369"/>
      <c r="V269" s="369"/>
      <c r="W269" s="369"/>
      <c r="X269" s="369"/>
      <c r="Y269" s="369"/>
      <c r="Z269" s="369"/>
    </row>
    <row r="270" spans="1:26" ht="14.25" customHeight="1">
      <c r="A270" s="369"/>
      <c r="B270" s="369"/>
      <c r="C270" s="369"/>
      <c r="D270" s="369"/>
      <c r="E270" s="369"/>
      <c r="F270" s="369"/>
      <c r="G270" s="369"/>
      <c r="H270" s="370"/>
      <c r="I270" s="371"/>
      <c r="J270" s="371"/>
      <c r="K270" s="370"/>
      <c r="L270" s="369"/>
      <c r="M270" s="369"/>
      <c r="N270" s="369"/>
      <c r="O270" s="369"/>
      <c r="P270" s="369"/>
      <c r="Q270" s="369"/>
      <c r="R270" s="369"/>
      <c r="S270" s="369"/>
      <c r="T270" s="369"/>
      <c r="U270" s="369"/>
      <c r="V270" s="369"/>
      <c r="W270" s="369"/>
      <c r="X270" s="369"/>
      <c r="Y270" s="369"/>
      <c r="Z270" s="369"/>
    </row>
    <row r="271" spans="1:26" ht="14.25" customHeight="1">
      <c r="A271" s="369"/>
      <c r="B271" s="369"/>
      <c r="C271" s="369"/>
      <c r="D271" s="369"/>
      <c r="E271" s="369"/>
      <c r="F271" s="369"/>
      <c r="G271" s="369"/>
      <c r="H271" s="370"/>
      <c r="I271" s="371"/>
      <c r="J271" s="371"/>
      <c r="K271" s="370"/>
      <c r="L271" s="369"/>
      <c r="M271" s="369"/>
      <c r="N271" s="369"/>
      <c r="O271" s="369"/>
      <c r="P271" s="369"/>
      <c r="Q271" s="369"/>
      <c r="R271" s="369"/>
      <c r="S271" s="369"/>
      <c r="T271" s="369"/>
      <c r="U271" s="369"/>
      <c r="V271" s="369"/>
      <c r="W271" s="369"/>
      <c r="X271" s="369"/>
      <c r="Y271" s="369"/>
      <c r="Z271" s="369"/>
    </row>
    <row r="272" spans="1:26" ht="14.25" customHeight="1">
      <c r="A272" s="369"/>
      <c r="B272" s="369"/>
      <c r="C272" s="369"/>
      <c r="D272" s="369"/>
      <c r="E272" s="369"/>
      <c r="F272" s="369"/>
      <c r="G272" s="369"/>
      <c r="H272" s="370"/>
      <c r="I272" s="371"/>
      <c r="J272" s="371"/>
      <c r="K272" s="370"/>
      <c r="L272" s="369"/>
      <c r="M272" s="369"/>
      <c r="N272" s="369"/>
      <c r="O272" s="369"/>
      <c r="P272" s="369"/>
      <c r="Q272" s="369"/>
      <c r="R272" s="369"/>
      <c r="S272" s="369"/>
      <c r="T272" s="369"/>
      <c r="U272" s="369"/>
      <c r="V272" s="369"/>
      <c r="W272" s="369"/>
      <c r="X272" s="369"/>
      <c r="Y272" s="369"/>
      <c r="Z272" s="369"/>
    </row>
    <row r="273" spans="1:26" ht="14.25" customHeight="1">
      <c r="A273" s="369"/>
      <c r="B273" s="369"/>
      <c r="C273" s="369"/>
      <c r="D273" s="369"/>
      <c r="E273" s="369"/>
      <c r="F273" s="369"/>
      <c r="G273" s="369"/>
      <c r="H273" s="370"/>
      <c r="I273" s="371"/>
      <c r="J273" s="371"/>
      <c r="K273" s="370"/>
      <c r="L273" s="369"/>
      <c r="M273" s="369"/>
      <c r="N273" s="369"/>
      <c r="O273" s="369"/>
      <c r="P273" s="369"/>
      <c r="Q273" s="369"/>
      <c r="R273" s="369"/>
      <c r="S273" s="369"/>
      <c r="T273" s="369"/>
      <c r="U273" s="369"/>
      <c r="V273" s="369"/>
      <c r="W273" s="369"/>
      <c r="X273" s="369"/>
      <c r="Y273" s="369"/>
      <c r="Z273" s="369"/>
    </row>
    <row r="274" spans="1:26" ht="14.25" customHeight="1">
      <c r="A274" s="369"/>
      <c r="B274" s="369"/>
      <c r="C274" s="369"/>
      <c r="D274" s="369"/>
      <c r="E274" s="369"/>
      <c r="F274" s="369"/>
      <c r="G274" s="369"/>
      <c r="H274" s="370"/>
      <c r="I274" s="371"/>
      <c r="J274" s="371"/>
      <c r="K274" s="370"/>
      <c r="L274" s="369"/>
      <c r="M274" s="369"/>
      <c r="N274" s="369"/>
      <c r="O274" s="369"/>
      <c r="P274" s="369"/>
      <c r="Q274" s="369"/>
      <c r="R274" s="369"/>
      <c r="S274" s="369"/>
      <c r="T274" s="369"/>
      <c r="U274" s="369"/>
      <c r="V274" s="369"/>
      <c r="W274" s="369"/>
      <c r="X274" s="369"/>
      <c r="Y274" s="369"/>
      <c r="Z274" s="369"/>
    </row>
    <row r="275" spans="1:26" ht="14.25" customHeight="1">
      <c r="A275" s="369"/>
      <c r="B275" s="369"/>
      <c r="C275" s="369"/>
      <c r="D275" s="369"/>
      <c r="E275" s="369"/>
      <c r="F275" s="369"/>
      <c r="G275" s="369"/>
      <c r="H275" s="370"/>
      <c r="I275" s="371"/>
      <c r="J275" s="371"/>
      <c r="K275" s="370"/>
      <c r="L275" s="369"/>
      <c r="M275" s="369"/>
      <c r="N275" s="369"/>
      <c r="O275" s="369"/>
      <c r="P275" s="369"/>
      <c r="Q275" s="369"/>
      <c r="R275" s="369"/>
      <c r="S275" s="369"/>
      <c r="T275" s="369"/>
      <c r="U275" s="369"/>
      <c r="V275" s="369"/>
      <c r="W275" s="369"/>
      <c r="X275" s="369"/>
      <c r="Y275" s="369"/>
      <c r="Z275" s="369"/>
    </row>
    <row r="276" spans="1:26" ht="14.25" customHeight="1">
      <c r="A276" s="369"/>
      <c r="B276" s="369"/>
      <c r="C276" s="369"/>
      <c r="D276" s="369"/>
      <c r="E276" s="369"/>
      <c r="F276" s="369"/>
      <c r="G276" s="369"/>
      <c r="H276" s="370"/>
      <c r="I276" s="371"/>
      <c r="J276" s="371"/>
      <c r="K276" s="370"/>
      <c r="L276" s="369"/>
      <c r="M276" s="369"/>
      <c r="N276" s="369"/>
      <c r="O276" s="369"/>
      <c r="P276" s="369"/>
      <c r="Q276" s="369"/>
      <c r="R276" s="369"/>
      <c r="S276" s="369"/>
      <c r="T276" s="369"/>
      <c r="U276" s="369"/>
      <c r="V276" s="369"/>
      <c r="W276" s="369"/>
      <c r="X276" s="369"/>
      <c r="Y276" s="369"/>
      <c r="Z276" s="369"/>
    </row>
    <row r="277" spans="1:26" ht="14.25" customHeight="1">
      <c r="A277" s="369"/>
      <c r="B277" s="369"/>
      <c r="C277" s="369"/>
      <c r="D277" s="369"/>
      <c r="E277" s="369"/>
      <c r="F277" s="369"/>
      <c r="G277" s="369"/>
      <c r="H277" s="370"/>
      <c r="I277" s="371"/>
      <c r="J277" s="371"/>
      <c r="K277" s="370"/>
      <c r="L277" s="369"/>
      <c r="M277" s="369"/>
      <c r="N277" s="369"/>
      <c r="O277" s="369"/>
      <c r="P277" s="369"/>
      <c r="Q277" s="369"/>
      <c r="R277" s="369"/>
      <c r="S277" s="369"/>
      <c r="T277" s="369"/>
      <c r="U277" s="369"/>
      <c r="V277" s="369"/>
      <c r="W277" s="369"/>
      <c r="X277" s="369"/>
      <c r="Y277" s="369"/>
      <c r="Z277" s="369"/>
    </row>
    <row r="278" spans="1:26" ht="14.25" customHeight="1">
      <c r="A278" s="369"/>
      <c r="B278" s="369"/>
      <c r="C278" s="369"/>
      <c r="D278" s="369"/>
      <c r="E278" s="369"/>
      <c r="F278" s="369"/>
      <c r="G278" s="369"/>
      <c r="H278" s="370"/>
      <c r="I278" s="371"/>
      <c r="J278" s="371"/>
      <c r="K278" s="370"/>
      <c r="L278" s="369"/>
      <c r="M278" s="369"/>
      <c r="N278" s="369"/>
      <c r="O278" s="369"/>
      <c r="P278" s="369"/>
      <c r="Q278" s="369"/>
      <c r="R278" s="369"/>
      <c r="S278" s="369"/>
      <c r="T278" s="369"/>
      <c r="U278" s="369"/>
      <c r="V278" s="369"/>
      <c r="W278" s="369"/>
      <c r="X278" s="369"/>
      <c r="Y278" s="369"/>
      <c r="Z278" s="369"/>
    </row>
    <row r="279" spans="1:26" ht="14.25" customHeight="1">
      <c r="A279" s="369"/>
      <c r="B279" s="369"/>
      <c r="C279" s="369"/>
      <c r="D279" s="369"/>
      <c r="E279" s="369"/>
      <c r="F279" s="369"/>
      <c r="G279" s="369"/>
      <c r="H279" s="370"/>
      <c r="I279" s="371"/>
      <c r="J279" s="371"/>
      <c r="K279" s="370"/>
      <c r="L279" s="369"/>
      <c r="M279" s="369"/>
      <c r="N279" s="369"/>
      <c r="O279" s="369"/>
      <c r="P279" s="369"/>
      <c r="Q279" s="369"/>
      <c r="R279" s="369"/>
      <c r="S279" s="369"/>
      <c r="T279" s="369"/>
      <c r="U279" s="369"/>
      <c r="V279" s="369"/>
      <c r="W279" s="369"/>
      <c r="X279" s="369"/>
      <c r="Y279" s="369"/>
      <c r="Z279" s="369"/>
    </row>
    <row r="280" spans="1:26" ht="14.25" customHeight="1">
      <c r="A280" s="369"/>
      <c r="B280" s="369"/>
      <c r="C280" s="369"/>
      <c r="D280" s="369"/>
      <c r="E280" s="369"/>
      <c r="F280" s="369"/>
      <c r="G280" s="369"/>
      <c r="H280" s="370"/>
      <c r="I280" s="371"/>
      <c r="J280" s="371"/>
      <c r="K280" s="370"/>
      <c r="L280" s="369"/>
      <c r="M280" s="369"/>
      <c r="N280" s="369"/>
      <c r="O280" s="369"/>
      <c r="P280" s="369"/>
      <c r="Q280" s="369"/>
      <c r="R280" s="369"/>
      <c r="S280" s="369"/>
      <c r="T280" s="369"/>
      <c r="U280" s="369"/>
      <c r="V280" s="369"/>
      <c r="W280" s="369"/>
      <c r="X280" s="369"/>
      <c r="Y280" s="369"/>
      <c r="Z280" s="369"/>
    </row>
    <row r="281" spans="1:26" ht="14.25" customHeight="1">
      <c r="A281" s="369"/>
      <c r="B281" s="369"/>
      <c r="C281" s="369"/>
      <c r="D281" s="369"/>
      <c r="E281" s="369"/>
      <c r="F281" s="369"/>
      <c r="G281" s="369"/>
      <c r="H281" s="370"/>
      <c r="I281" s="371"/>
      <c r="J281" s="371"/>
      <c r="K281" s="370"/>
      <c r="L281" s="369"/>
      <c r="M281" s="369"/>
      <c r="N281" s="369"/>
      <c r="O281" s="369"/>
      <c r="P281" s="369"/>
      <c r="Q281" s="369"/>
      <c r="R281" s="369"/>
      <c r="S281" s="369"/>
      <c r="T281" s="369"/>
      <c r="U281" s="369"/>
      <c r="V281" s="369"/>
      <c r="W281" s="369"/>
      <c r="X281" s="369"/>
      <c r="Y281" s="369"/>
      <c r="Z281" s="369"/>
    </row>
    <row r="282" spans="1:26" ht="14.25" customHeight="1">
      <c r="A282" s="369"/>
      <c r="B282" s="369"/>
      <c r="C282" s="369"/>
      <c r="D282" s="369"/>
      <c r="E282" s="369"/>
      <c r="F282" s="369"/>
      <c r="G282" s="369"/>
      <c r="H282" s="370"/>
      <c r="I282" s="371"/>
      <c r="J282" s="371"/>
      <c r="K282" s="370"/>
      <c r="L282" s="369"/>
      <c r="M282" s="369"/>
      <c r="N282" s="369"/>
      <c r="O282" s="369"/>
      <c r="P282" s="369"/>
      <c r="Q282" s="369"/>
      <c r="R282" s="369"/>
      <c r="S282" s="369"/>
      <c r="T282" s="369"/>
      <c r="U282" s="369"/>
      <c r="V282" s="369"/>
      <c r="W282" s="369"/>
      <c r="X282" s="369"/>
      <c r="Y282" s="369"/>
      <c r="Z282" s="369"/>
    </row>
    <row r="283" spans="1:26" ht="14.25" customHeight="1">
      <c r="A283" s="369"/>
      <c r="B283" s="369"/>
      <c r="C283" s="369"/>
      <c r="D283" s="369"/>
      <c r="E283" s="369"/>
      <c r="F283" s="369"/>
      <c r="G283" s="369"/>
      <c r="H283" s="370"/>
      <c r="I283" s="371"/>
      <c r="J283" s="371"/>
      <c r="K283" s="370"/>
      <c r="L283" s="369"/>
      <c r="M283" s="369"/>
      <c r="N283" s="369"/>
      <c r="O283" s="369"/>
      <c r="P283" s="369"/>
      <c r="Q283" s="369"/>
      <c r="R283" s="369"/>
      <c r="S283" s="369"/>
      <c r="T283" s="369"/>
      <c r="U283" s="369"/>
      <c r="V283" s="369"/>
      <c r="W283" s="369"/>
      <c r="X283" s="369"/>
      <c r="Y283" s="369"/>
      <c r="Z283" s="369"/>
    </row>
    <row r="284" spans="1:26" ht="14.25" customHeight="1">
      <c r="A284" s="369"/>
      <c r="B284" s="369"/>
      <c r="C284" s="369"/>
      <c r="D284" s="369"/>
      <c r="E284" s="369"/>
      <c r="F284" s="369"/>
      <c r="G284" s="369"/>
      <c r="H284" s="370"/>
      <c r="I284" s="371"/>
      <c r="J284" s="371"/>
      <c r="K284" s="370"/>
      <c r="L284" s="369"/>
      <c r="M284" s="369"/>
      <c r="N284" s="369"/>
      <c r="O284" s="369"/>
      <c r="P284" s="369"/>
      <c r="Q284" s="369"/>
      <c r="R284" s="369"/>
      <c r="S284" s="369"/>
      <c r="T284" s="369"/>
      <c r="U284" s="369"/>
      <c r="V284" s="369"/>
      <c r="W284" s="369"/>
      <c r="X284" s="369"/>
      <c r="Y284" s="369"/>
      <c r="Z284" s="369"/>
    </row>
    <row r="285" spans="1:26" ht="14.25" customHeight="1">
      <c r="A285" s="369"/>
      <c r="B285" s="369"/>
      <c r="C285" s="369"/>
      <c r="D285" s="369"/>
      <c r="E285" s="369"/>
      <c r="F285" s="369"/>
      <c r="G285" s="369"/>
      <c r="H285" s="370"/>
      <c r="I285" s="371"/>
      <c r="J285" s="371"/>
      <c r="K285" s="370"/>
      <c r="L285" s="369"/>
      <c r="M285" s="369"/>
      <c r="N285" s="369"/>
      <c r="O285" s="369"/>
      <c r="P285" s="369"/>
      <c r="Q285" s="369"/>
      <c r="R285" s="369"/>
      <c r="S285" s="369"/>
      <c r="T285" s="369"/>
      <c r="U285" s="369"/>
      <c r="V285" s="369"/>
      <c r="W285" s="369"/>
      <c r="X285" s="369"/>
      <c r="Y285" s="369"/>
      <c r="Z285" s="369"/>
    </row>
    <row r="286" spans="1:26" ht="14.25" customHeight="1">
      <c r="A286" s="369"/>
      <c r="B286" s="369"/>
      <c r="C286" s="369"/>
      <c r="D286" s="369"/>
      <c r="E286" s="369"/>
      <c r="F286" s="369"/>
      <c r="G286" s="369"/>
      <c r="H286" s="370"/>
      <c r="I286" s="371"/>
      <c r="J286" s="371"/>
      <c r="K286" s="370"/>
      <c r="L286" s="369"/>
      <c r="M286" s="369"/>
      <c r="N286" s="369"/>
      <c r="O286" s="369"/>
      <c r="P286" s="369"/>
      <c r="Q286" s="369"/>
      <c r="R286" s="369"/>
      <c r="S286" s="369"/>
      <c r="T286" s="369"/>
      <c r="U286" s="369"/>
      <c r="V286" s="369"/>
      <c r="W286" s="369"/>
      <c r="X286" s="369"/>
      <c r="Y286" s="369"/>
      <c r="Z286" s="369"/>
    </row>
    <row r="287" spans="1:26" ht="14.25" customHeight="1">
      <c r="A287" s="369"/>
      <c r="B287" s="369"/>
      <c r="C287" s="369"/>
      <c r="D287" s="369"/>
      <c r="E287" s="369"/>
      <c r="F287" s="369"/>
      <c r="G287" s="369"/>
      <c r="H287" s="370"/>
      <c r="I287" s="371"/>
      <c r="J287" s="371"/>
      <c r="K287" s="370"/>
      <c r="L287" s="369"/>
      <c r="M287" s="369"/>
      <c r="N287" s="369"/>
      <c r="O287" s="369"/>
      <c r="P287" s="369"/>
      <c r="Q287" s="369"/>
      <c r="R287" s="369"/>
      <c r="S287" s="369"/>
      <c r="T287" s="369"/>
      <c r="U287" s="369"/>
      <c r="V287" s="369"/>
      <c r="W287" s="369"/>
      <c r="X287" s="369"/>
      <c r="Y287" s="369"/>
      <c r="Z287" s="369"/>
    </row>
    <row r="288" spans="1:26" ht="14.25" customHeight="1">
      <c r="A288" s="369"/>
      <c r="B288" s="369"/>
      <c r="C288" s="369"/>
      <c r="D288" s="369"/>
      <c r="E288" s="369"/>
      <c r="F288" s="369"/>
      <c r="G288" s="369"/>
      <c r="H288" s="370"/>
      <c r="I288" s="371"/>
      <c r="J288" s="371"/>
      <c r="K288" s="370"/>
      <c r="L288" s="369"/>
      <c r="M288" s="369"/>
      <c r="N288" s="369"/>
      <c r="O288" s="369"/>
      <c r="P288" s="369"/>
      <c r="Q288" s="369"/>
      <c r="R288" s="369"/>
      <c r="S288" s="369"/>
      <c r="T288" s="369"/>
      <c r="U288" s="369"/>
      <c r="V288" s="369"/>
      <c r="W288" s="369"/>
      <c r="X288" s="369"/>
      <c r="Y288" s="369"/>
      <c r="Z288" s="369"/>
    </row>
    <row r="289" spans="1:26" ht="14.25" customHeight="1">
      <c r="A289" s="369"/>
      <c r="B289" s="369"/>
      <c r="C289" s="369"/>
      <c r="D289" s="369"/>
      <c r="E289" s="369"/>
      <c r="F289" s="369"/>
      <c r="G289" s="369"/>
      <c r="H289" s="370"/>
      <c r="I289" s="371"/>
      <c r="J289" s="371"/>
      <c r="K289" s="370"/>
      <c r="L289" s="369"/>
      <c r="M289" s="369"/>
      <c r="N289" s="369"/>
      <c r="O289" s="369"/>
      <c r="P289" s="369"/>
      <c r="Q289" s="369"/>
      <c r="R289" s="369"/>
      <c r="S289" s="369"/>
      <c r="T289" s="369"/>
      <c r="U289" s="369"/>
      <c r="V289" s="369"/>
      <c r="W289" s="369"/>
      <c r="X289" s="369"/>
      <c r="Y289" s="369"/>
      <c r="Z289" s="369"/>
    </row>
    <row r="290" spans="1:26" ht="14.25" customHeight="1">
      <c r="A290" s="369"/>
      <c r="B290" s="369"/>
      <c r="C290" s="369"/>
      <c r="D290" s="369"/>
      <c r="E290" s="369"/>
      <c r="F290" s="369"/>
      <c r="G290" s="369"/>
      <c r="H290" s="370"/>
      <c r="I290" s="371"/>
      <c r="J290" s="371"/>
      <c r="K290" s="370"/>
      <c r="L290" s="369"/>
      <c r="M290" s="369"/>
      <c r="N290" s="369"/>
      <c r="O290" s="369"/>
      <c r="P290" s="369"/>
      <c r="Q290" s="369"/>
      <c r="R290" s="369"/>
      <c r="S290" s="369"/>
      <c r="T290" s="369"/>
      <c r="U290" s="369"/>
      <c r="V290" s="369"/>
      <c r="W290" s="369"/>
      <c r="X290" s="369"/>
      <c r="Y290" s="369"/>
      <c r="Z290" s="369"/>
    </row>
    <row r="291" spans="1:26" ht="14.25" customHeight="1">
      <c r="A291" s="369"/>
      <c r="B291" s="369"/>
      <c r="C291" s="369"/>
      <c r="D291" s="369"/>
      <c r="E291" s="369"/>
      <c r="F291" s="369"/>
      <c r="G291" s="369"/>
      <c r="H291" s="370"/>
      <c r="I291" s="371"/>
      <c r="J291" s="371"/>
      <c r="K291" s="370"/>
      <c r="L291" s="369"/>
      <c r="M291" s="369"/>
      <c r="N291" s="369"/>
      <c r="O291" s="369"/>
      <c r="P291" s="369"/>
      <c r="Q291" s="369"/>
      <c r="R291" s="369"/>
      <c r="S291" s="369"/>
      <c r="T291" s="369"/>
      <c r="U291" s="369"/>
      <c r="V291" s="369"/>
      <c r="W291" s="369"/>
      <c r="X291" s="369"/>
      <c r="Y291" s="369"/>
      <c r="Z291" s="369"/>
    </row>
    <row r="292" spans="1:26" ht="14.25" customHeight="1">
      <c r="A292" s="369"/>
      <c r="B292" s="369"/>
      <c r="C292" s="369"/>
      <c r="D292" s="369"/>
      <c r="E292" s="369"/>
      <c r="F292" s="369"/>
      <c r="G292" s="369"/>
      <c r="H292" s="370"/>
      <c r="I292" s="371"/>
      <c r="J292" s="371"/>
      <c r="K292" s="370"/>
      <c r="L292" s="369"/>
      <c r="M292" s="369"/>
      <c r="N292" s="369"/>
      <c r="O292" s="369"/>
      <c r="P292" s="369"/>
      <c r="Q292" s="369"/>
      <c r="R292" s="369"/>
      <c r="S292" s="369"/>
      <c r="T292" s="369"/>
      <c r="U292" s="369"/>
      <c r="V292" s="369"/>
      <c r="W292" s="369"/>
      <c r="X292" s="369"/>
      <c r="Y292" s="369"/>
      <c r="Z292" s="369"/>
    </row>
    <row r="293" spans="1:26" ht="14.25" customHeight="1">
      <c r="A293" s="369"/>
      <c r="B293" s="369"/>
      <c r="C293" s="369"/>
      <c r="D293" s="369"/>
      <c r="E293" s="369"/>
      <c r="F293" s="369"/>
      <c r="G293" s="369"/>
      <c r="H293" s="370"/>
      <c r="I293" s="371"/>
      <c r="J293" s="371"/>
      <c r="K293" s="370"/>
      <c r="L293" s="369"/>
      <c r="M293" s="369"/>
      <c r="N293" s="369"/>
      <c r="O293" s="369"/>
      <c r="P293" s="369"/>
      <c r="Q293" s="369"/>
      <c r="R293" s="369"/>
      <c r="S293" s="369"/>
      <c r="T293" s="369"/>
      <c r="U293" s="369"/>
      <c r="V293" s="369"/>
      <c r="W293" s="369"/>
      <c r="X293" s="369"/>
      <c r="Y293" s="369"/>
      <c r="Z293" s="369"/>
    </row>
    <row r="294" spans="1:26" ht="14.25" customHeight="1">
      <c r="A294" s="369"/>
      <c r="B294" s="369"/>
      <c r="C294" s="369"/>
      <c r="D294" s="369"/>
      <c r="E294" s="369"/>
      <c r="F294" s="369"/>
      <c r="G294" s="369"/>
      <c r="H294" s="370"/>
      <c r="I294" s="371"/>
      <c r="J294" s="371"/>
      <c r="K294" s="370"/>
      <c r="L294" s="369"/>
      <c r="M294" s="369"/>
      <c r="N294" s="369"/>
      <c r="O294" s="369"/>
      <c r="P294" s="369"/>
      <c r="Q294" s="369"/>
      <c r="R294" s="369"/>
      <c r="S294" s="369"/>
      <c r="T294" s="369"/>
      <c r="U294" s="369"/>
      <c r="V294" s="369"/>
      <c r="W294" s="369"/>
      <c r="X294" s="369"/>
      <c r="Y294" s="369"/>
      <c r="Z294" s="369"/>
    </row>
    <row r="295" spans="1:26" ht="14.25" customHeight="1">
      <c r="A295" s="369"/>
      <c r="B295" s="369"/>
      <c r="C295" s="369"/>
      <c r="D295" s="369"/>
      <c r="E295" s="369"/>
      <c r="F295" s="369"/>
      <c r="G295" s="369"/>
      <c r="H295" s="370"/>
      <c r="I295" s="371"/>
      <c r="J295" s="371"/>
      <c r="K295" s="370"/>
      <c r="L295" s="369"/>
      <c r="M295" s="369"/>
      <c r="N295" s="369"/>
      <c r="O295" s="369"/>
      <c r="P295" s="369"/>
      <c r="Q295" s="369"/>
      <c r="R295" s="369"/>
      <c r="S295" s="369"/>
      <c r="T295" s="369"/>
      <c r="U295" s="369"/>
      <c r="V295" s="369"/>
      <c r="W295" s="369"/>
      <c r="X295" s="369"/>
      <c r="Y295" s="369"/>
      <c r="Z295" s="369"/>
    </row>
    <row r="296" spans="1:26" ht="14.25" customHeight="1">
      <c r="A296" s="369"/>
      <c r="B296" s="369"/>
      <c r="C296" s="369"/>
      <c r="D296" s="369"/>
      <c r="E296" s="369"/>
      <c r="F296" s="369"/>
      <c r="G296" s="369"/>
      <c r="H296" s="370"/>
      <c r="I296" s="371"/>
      <c r="J296" s="371"/>
      <c r="K296" s="370"/>
      <c r="L296" s="369"/>
      <c r="M296" s="369"/>
      <c r="N296" s="369"/>
      <c r="O296" s="369"/>
      <c r="P296" s="369"/>
      <c r="Q296" s="369"/>
      <c r="R296" s="369"/>
      <c r="S296" s="369"/>
      <c r="T296" s="369"/>
      <c r="U296" s="369"/>
      <c r="V296" s="369"/>
      <c r="W296" s="369"/>
      <c r="X296" s="369"/>
      <c r="Y296" s="369"/>
      <c r="Z296" s="369"/>
    </row>
    <row r="297" spans="1:26" ht="14.25" customHeight="1">
      <c r="A297" s="369"/>
      <c r="B297" s="369"/>
      <c r="C297" s="369"/>
      <c r="D297" s="369"/>
      <c r="E297" s="369"/>
      <c r="F297" s="369"/>
      <c r="G297" s="369"/>
      <c r="H297" s="370"/>
      <c r="I297" s="371"/>
      <c r="J297" s="371"/>
      <c r="K297" s="370"/>
      <c r="L297" s="369"/>
      <c r="M297" s="369"/>
      <c r="N297" s="369"/>
      <c r="O297" s="369"/>
      <c r="P297" s="369"/>
      <c r="Q297" s="369"/>
      <c r="R297" s="369"/>
      <c r="S297" s="369"/>
      <c r="T297" s="369"/>
      <c r="U297" s="369"/>
      <c r="V297" s="369"/>
      <c r="W297" s="369"/>
      <c r="X297" s="369"/>
      <c r="Y297" s="369"/>
      <c r="Z297" s="369"/>
    </row>
    <row r="298" spans="1:26" ht="14.25" customHeight="1">
      <c r="A298" s="369"/>
      <c r="B298" s="369"/>
      <c r="C298" s="369"/>
      <c r="D298" s="369"/>
      <c r="E298" s="369"/>
      <c r="F298" s="369"/>
      <c r="G298" s="369"/>
      <c r="H298" s="370"/>
      <c r="I298" s="371"/>
      <c r="J298" s="371"/>
      <c r="K298" s="370"/>
      <c r="L298" s="369"/>
      <c r="M298" s="369"/>
      <c r="N298" s="369"/>
      <c r="O298" s="369"/>
      <c r="P298" s="369"/>
      <c r="Q298" s="369"/>
      <c r="R298" s="369"/>
      <c r="S298" s="369"/>
      <c r="T298" s="369"/>
      <c r="U298" s="369"/>
      <c r="V298" s="369"/>
      <c r="W298" s="369"/>
      <c r="X298" s="369"/>
      <c r="Y298" s="369"/>
      <c r="Z298" s="369"/>
    </row>
    <row r="299" spans="1:26" ht="14.25" customHeight="1">
      <c r="A299" s="369"/>
      <c r="B299" s="369"/>
      <c r="C299" s="369"/>
      <c r="D299" s="369"/>
      <c r="E299" s="369"/>
      <c r="F299" s="369"/>
      <c r="G299" s="369"/>
      <c r="H299" s="370"/>
      <c r="I299" s="371"/>
      <c r="J299" s="371"/>
      <c r="K299" s="370"/>
      <c r="L299" s="369"/>
      <c r="M299" s="369"/>
      <c r="N299" s="369"/>
      <c r="O299" s="369"/>
      <c r="P299" s="369"/>
      <c r="Q299" s="369"/>
      <c r="R299" s="369"/>
      <c r="S299" s="369"/>
      <c r="T299" s="369"/>
      <c r="U299" s="369"/>
      <c r="V299" s="369"/>
      <c r="W299" s="369"/>
      <c r="X299" s="369"/>
      <c r="Y299" s="369"/>
      <c r="Z299" s="369"/>
    </row>
    <row r="300" spans="1:26" ht="14.25" customHeight="1">
      <c r="A300" s="369"/>
      <c r="B300" s="369"/>
      <c r="C300" s="369"/>
      <c r="D300" s="369"/>
      <c r="E300" s="369"/>
      <c r="F300" s="369"/>
      <c r="G300" s="369"/>
      <c r="H300" s="370"/>
      <c r="I300" s="371"/>
      <c r="J300" s="371"/>
      <c r="K300" s="370"/>
      <c r="L300" s="369"/>
      <c r="M300" s="369"/>
      <c r="N300" s="369"/>
      <c r="O300" s="369"/>
      <c r="P300" s="369"/>
      <c r="Q300" s="369"/>
      <c r="R300" s="369"/>
      <c r="S300" s="369"/>
      <c r="T300" s="369"/>
      <c r="U300" s="369"/>
      <c r="V300" s="369"/>
      <c r="W300" s="369"/>
      <c r="X300" s="369"/>
      <c r="Y300" s="369"/>
      <c r="Z300" s="369"/>
    </row>
    <row r="301" spans="1:26" ht="14.25" customHeight="1">
      <c r="A301" s="369"/>
      <c r="B301" s="369"/>
      <c r="C301" s="369"/>
      <c r="D301" s="369"/>
      <c r="E301" s="369"/>
      <c r="F301" s="369"/>
      <c r="G301" s="369"/>
      <c r="H301" s="370"/>
      <c r="I301" s="371"/>
      <c r="J301" s="371"/>
      <c r="K301" s="370"/>
      <c r="L301" s="369"/>
      <c r="M301" s="369"/>
      <c r="N301" s="369"/>
      <c r="O301" s="369"/>
      <c r="P301" s="369"/>
      <c r="Q301" s="369"/>
      <c r="R301" s="369"/>
      <c r="S301" s="369"/>
      <c r="T301" s="369"/>
      <c r="U301" s="369"/>
      <c r="V301" s="369"/>
      <c r="W301" s="369"/>
      <c r="X301" s="369"/>
      <c r="Y301" s="369"/>
      <c r="Z301" s="369"/>
    </row>
    <row r="302" spans="1:26" ht="14.25" customHeight="1">
      <c r="A302" s="369"/>
      <c r="B302" s="369"/>
      <c r="C302" s="369"/>
      <c r="D302" s="369"/>
      <c r="E302" s="369"/>
      <c r="F302" s="369"/>
      <c r="G302" s="369"/>
      <c r="H302" s="370"/>
      <c r="I302" s="371"/>
      <c r="J302" s="371"/>
      <c r="K302" s="370"/>
      <c r="L302" s="369"/>
      <c r="M302" s="369"/>
      <c r="N302" s="369"/>
      <c r="O302" s="369"/>
      <c r="P302" s="369"/>
      <c r="Q302" s="369"/>
      <c r="R302" s="369"/>
      <c r="S302" s="369"/>
      <c r="T302" s="369"/>
      <c r="U302" s="369"/>
      <c r="V302" s="369"/>
      <c r="W302" s="369"/>
      <c r="X302" s="369"/>
      <c r="Y302" s="369"/>
      <c r="Z302" s="369"/>
    </row>
    <row r="303" spans="1:26" ht="14.25" customHeight="1">
      <c r="A303" s="369"/>
      <c r="B303" s="369"/>
      <c r="C303" s="369"/>
      <c r="D303" s="369"/>
      <c r="E303" s="369"/>
      <c r="F303" s="369"/>
      <c r="G303" s="369"/>
      <c r="H303" s="370"/>
      <c r="I303" s="371"/>
      <c r="J303" s="371"/>
      <c r="K303" s="370"/>
      <c r="L303" s="369"/>
      <c r="M303" s="369"/>
      <c r="N303" s="369"/>
      <c r="O303" s="369"/>
      <c r="P303" s="369"/>
      <c r="Q303" s="369"/>
      <c r="R303" s="369"/>
      <c r="S303" s="369"/>
      <c r="T303" s="369"/>
      <c r="U303" s="369"/>
      <c r="V303" s="369"/>
      <c r="W303" s="369"/>
      <c r="X303" s="369"/>
      <c r="Y303" s="369"/>
      <c r="Z303" s="369"/>
    </row>
    <row r="304" spans="1:26" ht="14.25" customHeight="1">
      <c r="A304" s="369"/>
      <c r="B304" s="369"/>
      <c r="C304" s="369"/>
      <c r="D304" s="369"/>
      <c r="E304" s="369"/>
      <c r="F304" s="369"/>
      <c r="G304" s="369"/>
      <c r="H304" s="370"/>
      <c r="I304" s="371"/>
      <c r="J304" s="371"/>
      <c r="K304" s="370"/>
      <c r="L304" s="369"/>
      <c r="M304" s="369"/>
      <c r="N304" s="369"/>
      <c r="O304" s="369"/>
      <c r="P304" s="369"/>
      <c r="Q304" s="369"/>
      <c r="R304" s="369"/>
      <c r="S304" s="369"/>
      <c r="T304" s="369"/>
      <c r="U304" s="369"/>
      <c r="V304" s="369"/>
      <c r="W304" s="369"/>
      <c r="X304" s="369"/>
      <c r="Y304" s="369"/>
      <c r="Z304" s="369"/>
    </row>
    <row r="305" spans="1:26" ht="14.25" customHeight="1">
      <c r="A305" s="369"/>
      <c r="B305" s="369"/>
      <c r="C305" s="369"/>
      <c r="D305" s="369"/>
      <c r="E305" s="369"/>
      <c r="F305" s="369"/>
      <c r="G305" s="369"/>
      <c r="H305" s="370"/>
      <c r="I305" s="371"/>
      <c r="J305" s="371"/>
      <c r="K305" s="370"/>
      <c r="L305" s="369"/>
      <c r="M305" s="369"/>
      <c r="N305" s="369"/>
      <c r="O305" s="369"/>
      <c r="P305" s="369"/>
      <c r="Q305" s="369"/>
      <c r="R305" s="369"/>
      <c r="S305" s="369"/>
      <c r="T305" s="369"/>
      <c r="U305" s="369"/>
      <c r="V305" s="369"/>
      <c r="W305" s="369"/>
      <c r="X305" s="369"/>
      <c r="Y305" s="369"/>
      <c r="Z305" s="369"/>
    </row>
    <row r="306" spans="1:26" ht="14.25" customHeight="1">
      <c r="A306" s="369"/>
      <c r="B306" s="369"/>
      <c r="C306" s="369"/>
      <c r="D306" s="369"/>
      <c r="E306" s="369"/>
      <c r="F306" s="369"/>
      <c r="G306" s="369"/>
      <c r="H306" s="370"/>
      <c r="I306" s="371"/>
      <c r="J306" s="371"/>
      <c r="K306" s="370"/>
      <c r="L306" s="369"/>
      <c r="M306" s="369"/>
      <c r="N306" s="369"/>
      <c r="O306" s="369"/>
      <c r="P306" s="369"/>
      <c r="Q306" s="369"/>
      <c r="R306" s="369"/>
      <c r="S306" s="369"/>
      <c r="T306" s="369"/>
      <c r="U306" s="369"/>
      <c r="V306" s="369"/>
      <c r="W306" s="369"/>
      <c r="X306" s="369"/>
      <c r="Y306" s="369"/>
      <c r="Z306" s="369"/>
    </row>
    <row r="307" spans="1:26" ht="14.25" customHeight="1">
      <c r="A307" s="369"/>
      <c r="B307" s="369"/>
      <c r="C307" s="369"/>
      <c r="D307" s="369"/>
      <c r="E307" s="369"/>
      <c r="F307" s="369"/>
      <c r="G307" s="369"/>
      <c r="H307" s="370"/>
      <c r="I307" s="371"/>
      <c r="J307" s="371"/>
      <c r="K307" s="370"/>
      <c r="L307" s="369"/>
      <c r="M307" s="369"/>
      <c r="N307" s="369"/>
      <c r="O307" s="369"/>
      <c r="P307" s="369"/>
      <c r="Q307" s="369"/>
      <c r="R307" s="369"/>
      <c r="S307" s="369"/>
      <c r="T307" s="369"/>
      <c r="U307" s="369"/>
      <c r="V307" s="369"/>
      <c r="W307" s="369"/>
      <c r="X307" s="369"/>
      <c r="Y307" s="369"/>
      <c r="Z307" s="369"/>
    </row>
    <row r="308" spans="1:26" ht="14.25" customHeight="1">
      <c r="A308" s="369"/>
      <c r="B308" s="369"/>
      <c r="C308" s="369"/>
      <c r="D308" s="369"/>
      <c r="E308" s="369"/>
      <c r="F308" s="369"/>
      <c r="G308" s="369"/>
      <c r="H308" s="370"/>
      <c r="I308" s="371"/>
      <c r="J308" s="371"/>
      <c r="K308" s="370"/>
      <c r="L308" s="369"/>
      <c r="M308" s="369"/>
      <c r="N308" s="369"/>
      <c r="O308" s="369"/>
      <c r="P308" s="369"/>
      <c r="Q308" s="369"/>
      <c r="R308" s="369"/>
      <c r="S308" s="369"/>
      <c r="T308" s="369"/>
      <c r="U308" s="369"/>
      <c r="V308" s="369"/>
      <c r="W308" s="369"/>
      <c r="X308" s="369"/>
      <c r="Y308" s="369"/>
      <c r="Z308" s="369"/>
    </row>
    <row r="309" spans="1:26" ht="14.25" customHeight="1">
      <c r="A309" s="369"/>
      <c r="B309" s="369"/>
      <c r="C309" s="369"/>
      <c r="D309" s="369"/>
      <c r="E309" s="369"/>
      <c r="F309" s="369"/>
      <c r="G309" s="369"/>
      <c r="H309" s="370"/>
      <c r="I309" s="371"/>
      <c r="J309" s="371"/>
      <c r="K309" s="370"/>
      <c r="L309" s="369"/>
      <c r="M309" s="369"/>
      <c r="N309" s="369"/>
      <c r="O309" s="369"/>
      <c r="P309" s="369"/>
      <c r="Q309" s="369"/>
      <c r="R309" s="369"/>
      <c r="S309" s="369"/>
      <c r="T309" s="369"/>
      <c r="U309" s="369"/>
      <c r="V309" s="369"/>
      <c r="W309" s="369"/>
      <c r="X309" s="369"/>
      <c r="Y309" s="369"/>
      <c r="Z309" s="369"/>
    </row>
    <row r="310" spans="1:26" ht="14.25" customHeight="1">
      <c r="A310" s="369"/>
      <c r="B310" s="369"/>
      <c r="C310" s="369"/>
      <c r="D310" s="369"/>
      <c r="E310" s="369"/>
      <c r="F310" s="369"/>
      <c r="G310" s="369"/>
      <c r="H310" s="370"/>
      <c r="I310" s="371"/>
      <c r="J310" s="371"/>
      <c r="K310" s="370"/>
      <c r="L310" s="369"/>
      <c r="M310" s="369"/>
      <c r="N310" s="369"/>
      <c r="O310" s="369"/>
      <c r="P310" s="369"/>
      <c r="Q310" s="369"/>
      <c r="R310" s="369"/>
      <c r="S310" s="369"/>
      <c r="T310" s="369"/>
      <c r="U310" s="369"/>
      <c r="V310" s="369"/>
      <c r="W310" s="369"/>
      <c r="X310" s="369"/>
      <c r="Y310" s="369"/>
      <c r="Z310" s="369"/>
    </row>
    <row r="311" spans="1:26" ht="14.25" customHeight="1">
      <c r="A311" s="369"/>
      <c r="B311" s="369"/>
      <c r="C311" s="369"/>
      <c r="D311" s="369"/>
      <c r="E311" s="369"/>
      <c r="F311" s="369"/>
      <c r="G311" s="369"/>
      <c r="H311" s="370"/>
      <c r="I311" s="371"/>
      <c r="J311" s="371"/>
      <c r="K311" s="370"/>
      <c r="L311" s="369"/>
      <c r="M311" s="369"/>
      <c r="N311" s="369"/>
      <c r="O311" s="369"/>
      <c r="P311" s="369"/>
      <c r="Q311" s="369"/>
      <c r="R311" s="369"/>
      <c r="S311" s="369"/>
      <c r="T311" s="369"/>
      <c r="U311" s="369"/>
      <c r="V311" s="369"/>
      <c r="W311" s="369"/>
      <c r="X311" s="369"/>
      <c r="Y311" s="369"/>
      <c r="Z311" s="369"/>
    </row>
    <row r="312" spans="1:26" ht="14.25" customHeight="1">
      <c r="A312" s="369"/>
      <c r="B312" s="369"/>
      <c r="C312" s="369"/>
      <c r="D312" s="369"/>
      <c r="E312" s="369"/>
      <c r="F312" s="369"/>
      <c r="G312" s="369"/>
      <c r="H312" s="370"/>
      <c r="I312" s="371"/>
      <c r="J312" s="371"/>
      <c r="K312" s="370"/>
      <c r="L312" s="369"/>
      <c r="M312" s="369"/>
      <c r="N312" s="369"/>
      <c r="O312" s="369"/>
      <c r="P312" s="369"/>
      <c r="Q312" s="369"/>
      <c r="R312" s="369"/>
      <c r="S312" s="369"/>
      <c r="T312" s="369"/>
      <c r="U312" s="369"/>
      <c r="V312" s="369"/>
      <c r="W312" s="369"/>
      <c r="X312" s="369"/>
      <c r="Y312" s="369"/>
      <c r="Z312" s="369"/>
    </row>
    <row r="313" spans="1:26" ht="14.25" customHeight="1">
      <c r="A313" s="369"/>
      <c r="B313" s="369"/>
      <c r="C313" s="369"/>
      <c r="D313" s="369"/>
      <c r="E313" s="369"/>
      <c r="F313" s="369"/>
      <c r="G313" s="369"/>
      <c r="H313" s="370"/>
      <c r="I313" s="371"/>
      <c r="J313" s="371"/>
      <c r="K313" s="370"/>
      <c r="L313" s="369"/>
      <c r="M313" s="369"/>
      <c r="N313" s="369"/>
      <c r="O313" s="369"/>
      <c r="P313" s="369"/>
      <c r="Q313" s="369"/>
      <c r="R313" s="369"/>
      <c r="S313" s="369"/>
      <c r="T313" s="369"/>
      <c r="U313" s="369"/>
      <c r="V313" s="369"/>
      <c r="W313" s="369"/>
      <c r="X313" s="369"/>
      <c r="Y313" s="369"/>
      <c r="Z313" s="369"/>
    </row>
    <row r="314" spans="1:26" ht="14.25" customHeight="1">
      <c r="A314" s="369"/>
      <c r="B314" s="369"/>
      <c r="C314" s="369"/>
      <c r="D314" s="369"/>
      <c r="E314" s="369"/>
      <c r="F314" s="369"/>
      <c r="G314" s="369"/>
      <c r="H314" s="370"/>
      <c r="I314" s="371"/>
      <c r="J314" s="371"/>
      <c r="K314" s="370"/>
      <c r="L314" s="369"/>
      <c r="M314" s="369"/>
      <c r="N314" s="369"/>
      <c r="O314" s="369"/>
      <c r="P314" s="369"/>
      <c r="Q314" s="369"/>
      <c r="R314" s="369"/>
      <c r="S314" s="369"/>
      <c r="T314" s="369"/>
      <c r="U314" s="369"/>
      <c r="V314" s="369"/>
      <c r="W314" s="369"/>
      <c r="X314" s="369"/>
      <c r="Y314" s="369"/>
      <c r="Z314" s="369"/>
    </row>
    <row r="315" spans="1:26" ht="14.25" customHeight="1">
      <c r="A315" s="369"/>
      <c r="B315" s="369"/>
      <c r="C315" s="369"/>
      <c r="D315" s="369"/>
      <c r="E315" s="369"/>
      <c r="F315" s="369"/>
      <c r="G315" s="369"/>
      <c r="H315" s="370"/>
      <c r="I315" s="371"/>
      <c r="J315" s="371"/>
      <c r="K315" s="370"/>
      <c r="L315" s="369"/>
      <c r="M315" s="369"/>
      <c r="N315" s="369"/>
      <c r="O315" s="369"/>
      <c r="P315" s="369"/>
      <c r="Q315" s="369"/>
      <c r="R315" s="369"/>
      <c r="S315" s="369"/>
      <c r="T315" s="369"/>
      <c r="U315" s="369"/>
      <c r="V315" s="369"/>
      <c r="W315" s="369"/>
      <c r="X315" s="369"/>
      <c r="Y315" s="369"/>
      <c r="Z315" s="369"/>
    </row>
    <row r="316" spans="1:26" ht="14.25" customHeight="1">
      <c r="A316" s="369"/>
      <c r="B316" s="369"/>
      <c r="C316" s="369"/>
      <c r="D316" s="369"/>
      <c r="E316" s="369"/>
      <c r="F316" s="369"/>
      <c r="G316" s="369"/>
      <c r="H316" s="370"/>
      <c r="I316" s="371"/>
      <c r="J316" s="371"/>
      <c r="K316" s="370"/>
      <c r="L316" s="369"/>
      <c r="M316" s="369"/>
      <c r="N316" s="369"/>
      <c r="O316" s="369"/>
      <c r="P316" s="369"/>
      <c r="Q316" s="369"/>
      <c r="R316" s="369"/>
      <c r="S316" s="369"/>
      <c r="T316" s="369"/>
      <c r="U316" s="369"/>
      <c r="V316" s="369"/>
      <c r="W316" s="369"/>
      <c r="X316" s="369"/>
      <c r="Y316" s="369"/>
      <c r="Z316" s="369"/>
    </row>
    <row r="317" spans="1:26" ht="14.25" customHeight="1">
      <c r="A317" s="369"/>
      <c r="B317" s="369"/>
      <c r="C317" s="369"/>
      <c r="D317" s="369"/>
      <c r="E317" s="369"/>
      <c r="F317" s="369"/>
      <c r="G317" s="369"/>
      <c r="H317" s="370"/>
      <c r="I317" s="371"/>
      <c r="J317" s="371"/>
      <c r="K317" s="370"/>
      <c r="L317" s="369"/>
      <c r="M317" s="369"/>
      <c r="N317" s="369"/>
      <c r="O317" s="369"/>
      <c r="P317" s="369"/>
      <c r="Q317" s="369"/>
      <c r="R317" s="369"/>
      <c r="S317" s="369"/>
      <c r="T317" s="369"/>
      <c r="U317" s="369"/>
      <c r="V317" s="369"/>
      <c r="W317" s="369"/>
      <c r="X317" s="369"/>
      <c r="Y317" s="369"/>
      <c r="Z317" s="369"/>
    </row>
    <row r="318" spans="1:26" ht="14.25" customHeight="1">
      <c r="A318" s="369"/>
      <c r="B318" s="369"/>
      <c r="C318" s="369"/>
      <c r="D318" s="369"/>
      <c r="E318" s="369"/>
      <c r="F318" s="369"/>
      <c r="G318" s="369"/>
      <c r="H318" s="370"/>
      <c r="I318" s="371"/>
      <c r="J318" s="371"/>
      <c r="K318" s="370"/>
      <c r="L318" s="369"/>
      <c r="M318" s="369"/>
      <c r="N318" s="369"/>
      <c r="O318" s="369"/>
      <c r="P318" s="369"/>
      <c r="Q318" s="369"/>
      <c r="R318" s="369"/>
      <c r="S318" s="369"/>
      <c r="T318" s="369"/>
      <c r="U318" s="369"/>
      <c r="V318" s="369"/>
      <c r="W318" s="369"/>
      <c r="X318" s="369"/>
      <c r="Y318" s="369"/>
      <c r="Z318" s="369"/>
    </row>
    <row r="319" spans="1:26" ht="14.25" customHeight="1">
      <c r="A319" s="369"/>
      <c r="B319" s="369"/>
      <c r="C319" s="369"/>
      <c r="D319" s="369"/>
      <c r="E319" s="369"/>
      <c r="F319" s="369"/>
      <c r="G319" s="369"/>
      <c r="H319" s="370"/>
      <c r="I319" s="371"/>
      <c r="J319" s="371"/>
      <c r="K319" s="370"/>
      <c r="L319" s="369"/>
      <c r="M319" s="369"/>
      <c r="N319" s="369"/>
      <c r="O319" s="369"/>
      <c r="P319" s="369"/>
      <c r="Q319" s="369"/>
      <c r="R319" s="369"/>
      <c r="S319" s="369"/>
      <c r="T319" s="369"/>
      <c r="U319" s="369"/>
      <c r="V319" s="369"/>
      <c r="W319" s="369"/>
      <c r="X319" s="369"/>
      <c r="Y319" s="369"/>
      <c r="Z319" s="369"/>
    </row>
    <row r="320" spans="1:26" ht="14.25" customHeight="1">
      <c r="A320" s="369"/>
      <c r="B320" s="369"/>
      <c r="C320" s="369"/>
      <c r="D320" s="369"/>
      <c r="E320" s="369"/>
      <c r="F320" s="369"/>
      <c r="G320" s="369"/>
      <c r="H320" s="370"/>
      <c r="I320" s="371"/>
      <c r="J320" s="371"/>
      <c r="K320" s="370"/>
      <c r="L320" s="369"/>
      <c r="M320" s="369"/>
      <c r="N320" s="369"/>
      <c r="O320" s="369"/>
      <c r="P320" s="369"/>
      <c r="Q320" s="369"/>
      <c r="R320" s="369"/>
      <c r="S320" s="369"/>
      <c r="T320" s="369"/>
      <c r="U320" s="369"/>
      <c r="V320" s="369"/>
      <c r="W320" s="369"/>
      <c r="X320" s="369"/>
      <c r="Y320" s="369"/>
      <c r="Z320" s="369"/>
    </row>
    <row r="321" spans="1:26" ht="14.25" customHeight="1">
      <c r="A321" s="369"/>
      <c r="B321" s="369"/>
      <c r="C321" s="369"/>
      <c r="D321" s="369"/>
      <c r="E321" s="369"/>
      <c r="F321" s="369"/>
      <c r="G321" s="369"/>
      <c r="H321" s="370"/>
      <c r="I321" s="371"/>
      <c r="J321" s="371"/>
      <c r="K321" s="370"/>
      <c r="L321" s="369"/>
      <c r="M321" s="369"/>
      <c r="N321" s="369"/>
      <c r="O321" s="369"/>
      <c r="P321" s="369"/>
      <c r="Q321" s="369"/>
      <c r="R321" s="369"/>
      <c r="S321" s="369"/>
      <c r="T321" s="369"/>
      <c r="U321" s="369"/>
      <c r="V321" s="369"/>
      <c r="W321" s="369"/>
      <c r="X321" s="369"/>
      <c r="Y321" s="369"/>
      <c r="Z321" s="369"/>
    </row>
    <row r="322" spans="1:26" ht="14.25" customHeight="1">
      <c r="A322" s="369"/>
      <c r="B322" s="369"/>
      <c r="C322" s="369"/>
      <c r="D322" s="369"/>
      <c r="E322" s="369"/>
      <c r="F322" s="369"/>
      <c r="G322" s="369"/>
      <c r="H322" s="370"/>
      <c r="I322" s="371"/>
      <c r="J322" s="371"/>
      <c r="K322" s="370"/>
      <c r="L322" s="369"/>
      <c r="M322" s="369"/>
      <c r="N322" s="369"/>
      <c r="O322" s="369"/>
      <c r="P322" s="369"/>
      <c r="Q322" s="369"/>
      <c r="R322" s="369"/>
      <c r="S322" s="369"/>
      <c r="T322" s="369"/>
      <c r="U322" s="369"/>
      <c r="V322" s="369"/>
      <c r="W322" s="369"/>
      <c r="X322" s="369"/>
      <c r="Y322" s="369"/>
      <c r="Z322" s="369"/>
    </row>
    <row r="323" spans="1:26" ht="14.25" customHeight="1">
      <c r="A323" s="369"/>
      <c r="B323" s="369"/>
      <c r="C323" s="369"/>
      <c r="D323" s="369"/>
      <c r="E323" s="369"/>
      <c r="F323" s="369"/>
      <c r="G323" s="369"/>
      <c r="H323" s="370"/>
      <c r="I323" s="371"/>
      <c r="J323" s="371"/>
      <c r="K323" s="370"/>
      <c r="L323" s="369"/>
      <c r="M323" s="369"/>
      <c r="N323" s="369"/>
      <c r="O323" s="369"/>
      <c r="P323" s="369"/>
      <c r="Q323" s="369"/>
      <c r="R323" s="369"/>
      <c r="S323" s="369"/>
      <c r="T323" s="369"/>
      <c r="U323" s="369"/>
      <c r="V323" s="369"/>
      <c r="W323" s="369"/>
      <c r="X323" s="369"/>
      <c r="Y323" s="369"/>
      <c r="Z323" s="369"/>
    </row>
    <row r="324" spans="1:26" ht="14.25" customHeight="1">
      <c r="A324" s="369"/>
      <c r="B324" s="369"/>
      <c r="C324" s="369"/>
      <c r="D324" s="369"/>
      <c r="E324" s="369"/>
      <c r="F324" s="369"/>
      <c r="G324" s="369"/>
      <c r="H324" s="370"/>
      <c r="I324" s="371"/>
      <c r="J324" s="371"/>
      <c r="K324" s="370"/>
      <c r="L324" s="369"/>
      <c r="M324" s="369"/>
      <c r="N324" s="369"/>
      <c r="O324" s="369"/>
      <c r="P324" s="369"/>
      <c r="Q324" s="369"/>
      <c r="R324" s="369"/>
      <c r="S324" s="369"/>
      <c r="T324" s="369"/>
      <c r="U324" s="369"/>
      <c r="V324" s="369"/>
      <c r="W324" s="369"/>
      <c r="X324" s="369"/>
      <c r="Y324" s="369"/>
      <c r="Z324" s="369"/>
    </row>
    <row r="325" spans="1:26" ht="14.25" customHeight="1">
      <c r="A325" s="369"/>
      <c r="B325" s="369"/>
      <c r="C325" s="369"/>
      <c r="D325" s="369"/>
      <c r="E325" s="369"/>
      <c r="F325" s="369"/>
      <c r="G325" s="369"/>
      <c r="H325" s="370"/>
      <c r="I325" s="371"/>
      <c r="J325" s="371"/>
      <c r="K325" s="370"/>
      <c r="L325" s="369"/>
      <c r="M325" s="369"/>
      <c r="N325" s="369"/>
      <c r="O325" s="369"/>
      <c r="P325" s="369"/>
      <c r="Q325" s="369"/>
      <c r="R325" s="369"/>
      <c r="S325" s="369"/>
      <c r="T325" s="369"/>
      <c r="U325" s="369"/>
      <c r="V325" s="369"/>
      <c r="W325" s="369"/>
      <c r="X325" s="369"/>
      <c r="Y325" s="369"/>
      <c r="Z325" s="369"/>
    </row>
    <row r="326" spans="1:26" ht="14.25" customHeight="1">
      <c r="A326" s="369"/>
      <c r="B326" s="369"/>
      <c r="C326" s="369"/>
      <c r="D326" s="369"/>
      <c r="E326" s="369"/>
      <c r="F326" s="369"/>
      <c r="G326" s="369"/>
      <c r="H326" s="370"/>
      <c r="I326" s="371"/>
      <c r="J326" s="371"/>
      <c r="K326" s="370"/>
      <c r="L326" s="369"/>
      <c r="M326" s="369"/>
      <c r="N326" s="369"/>
      <c r="O326" s="369"/>
      <c r="P326" s="369"/>
      <c r="Q326" s="369"/>
      <c r="R326" s="369"/>
      <c r="S326" s="369"/>
      <c r="T326" s="369"/>
      <c r="U326" s="369"/>
      <c r="V326" s="369"/>
      <c r="W326" s="369"/>
      <c r="X326" s="369"/>
      <c r="Y326" s="369"/>
      <c r="Z326" s="369"/>
    </row>
    <row r="327" spans="1:26" ht="14.25" customHeight="1">
      <c r="A327" s="369"/>
      <c r="B327" s="369"/>
      <c r="C327" s="369"/>
      <c r="D327" s="369"/>
      <c r="E327" s="369"/>
      <c r="F327" s="369"/>
      <c r="G327" s="369"/>
      <c r="H327" s="370"/>
      <c r="I327" s="371"/>
      <c r="J327" s="371"/>
      <c r="K327" s="370"/>
      <c r="L327" s="369"/>
      <c r="M327" s="369"/>
      <c r="N327" s="369"/>
      <c r="O327" s="369"/>
      <c r="P327" s="369"/>
      <c r="Q327" s="369"/>
      <c r="R327" s="369"/>
      <c r="S327" s="369"/>
      <c r="T327" s="369"/>
      <c r="U327" s="369"/>
      <c r="V327" s="369"/>
      <c r="W327" s="369"/>
      <c r="X327" s="369"/>
      <c r="Y327" s="369"/>
      <c r="Z327" s="369"/>
    </row>
    <row r="328" spans="1:26" ht="14.25" customHeight="1">
      <c r="A328" s="369"/>
      <c r="B328" s="369"/>
      <c r="C328" s="369"/>
      <c r="D328" s="369"/>
      <c r="E328" s="369"/>
      <c r="F328" s="369"/>
      <c r="G328" s="369"/>
      <c r="H328" s="370"/>
      <c r="I328" s="371"/>
      <c r="J328" s="371"/>
      <c r="K328" s="370"/>
      <c r="L328" s="369"/>
      <c r="M328" s="369"/>
      <c r="N328" s="369"/>
      <c r="O328" s="369"/>
      <c r="P328" s="369"/>
      <c r="Q328" s="369"/>
      <c r="R328" s="369"/>
      <c r="S328" s="369"/>
      <c r="T328" s="369"/>
      <c r="U328" s="369"/>
      <c r="V328" s="369"/>
      <c r="W328" s="369"/>
      <c r="X328" s="369"/>
      <c r="Y328" s="369"/>
      <c r="Z328" s="369"/>
    </row>
    <row r="329" spans="1:26" ht="14.25" customHeight="1">
      <c r="A329" s="369"/>
      <c r="B329" s="369"/>
      <c r="C329" s="369"/>
      <c r="D329" s="369"/>
      <c r="E329" s="369"/>
      <c r="F329" s="369"/>
      <c r="G329" s="369"/>
      <c r="H329" s="370"/>
      <c r="I329" s="371"/>
      <c r="J329" s="371"/>
      <c r="K329" s="370"/>
      <c r="L329" s="369"/>
      <c r="M329" s="369"/>
      <c r="N329" s="369"/>
      <c r="O329" s="369"/>
      <c r="P329" s="369"/>
      <c r="Q329" s="369"/>
      <c r="R329" s="369"/>
      <c r="S329" s="369"/>
      <c r="T329" s="369"/>
      <c r="U329" s="369"/>
      <c r="V329" s="369"/>
      <c r="W329" s="369"/>
      <c r="X329" s="369"/>
      <c r="Y329" s="369"/>
      <c r="Z329" s="369"/>
    </row>
    <row r="330" spans="1:26" ht="14.25" customHeight="1">
      <c r="A330" s="369"/>
      <c r="B330" s="369"/>
      <c r="C330" s="369"/>
      <c r="D330" s="369"/>
      <c r="E330" s="369"/>
      <c r="F330" s="369"/>
      <c r="G330" s="369"/>
      <c r="H330" s="370"/>
      <c r="I330" s="371"/>
      <c r="J330" s="371"/>
      <c r="K330" s="370"/>
      <c r="L330" s="369"/>
      <c r="M330" s="369"/>
      <c r="N330" s="369"/>
      <c r="O330" s="369"/>
      <c r="P330" s="369"/>
      <c r="Q330" s="369"/>
      <c r="R330" s="369"/>
      <c r="S330" s="369"/>
      <c r="T330" s="369"/>
      <c r="U330" s="369"/>
      <c r="V330" s="369"/>
      <c r="W330" s="369"/>
      <c r="X330" s="369"/>
      <c r="Y330" s="369"/>
      <c r="Z330" s="369"/>
    </row>
    <row r="331" spans="1:26" ht="14.25" customHeight="1">
      <c r="A331" s="369"/>
      <c r="B331" s="369"/>
      <c r="C331" s="369"/>
      <c r="D331" s="369"/>
      <c r="E331" s="369"/>
      <c r="F331" s="369"/>
      <c r="G331" s="369"/>
      <c r="H331" s="370"/>
      <c r="I331" s="371"/>
      <c r="J331" s="371"/>
      <c r="K331" s="370"/>
      <c r="L331" s="369"/>
      <c r="M331" s="369"/>
      <c r="N331" s="369"/>
      <c r="O331" s="369"/>
      <c r="P331" s="369"/>
      <c r="Q331" s="369"/>
      <c r="R331" s="369"/>
      <c r="S331" s="369"/>
      <c r="T331" s="369"/>
      <c r="U331" s="369"/>
      <c r="V331" s="369"/>
      <c r="W331" s="369"/>
      <c r="X331" s="369"/>
      <c r="Y331" s="369"/>
      <c r="Z331" s="369"/>
    </row>
    <row r="332" spans="1:26" ht="14.25" customHeight="1">
      <c r="A332" s="369"/>
      <c r="B332" s="369"/>
      <c r="C332" s="369"/>
      <c r="D332" s="369"/>
      <c r="E332" s="369"/>
      <c r="F332" s="369"/>
      <c r="G332" s="369"/>
      <c r="H332" s="370"/>
      <c r="I332" s="371"/>
      <c r="J332" s="371"/>
      <c r="K332" s="370"/>
      <c r="L332" s="369"/>
      <c r="M332" s="369"/>
      <c r="N332" s="369"/>
      <c r="O332" s="369"/>
      <c r="P332" s="369"/>
      <c r="Q332" s="369"/>
      <c r="R332" s="369"/>
      <c r="S332" s="369"/>
      <c r="T332" s="369"/>
      <c r="U332" s="369"/>
      <c r="V332" s="369"/>
      <c r="W332" s="369"/>
      <c r="X332" s="369"/>
      <c r="Y332" s="369"/>
      <c r="Z332" s="369"/>
    </row>
    <row r="333" spans="1:26" ht="14.25" customHeight="1">
      <c r="A333" s="369"/>
      <c r="B333" s="369"/>
      <c r="C333" s="369"/>
      <c r="D333" s="369"/>
      <c r="E333" s="369"/>
      <c r="F333" s="369"/>
      <c r="G333" s="369"/>
      <c r="H333" s="370"/>
      <c r="I333" s="371"/>
      <c r="J333" s="371"/>
      <c r="K333" s="370"/>
      <c r="L333" s="369"/>
      <c r="M333" s="369"/>
      <c r="N333" s="369"/>
      <c r="O333" s="369"/>
      <c r="P333" s="369"/>
      <c r="Q333" s="369"/>
      <c r="R333" s="369"/>
      <c r="S333" s="369"/>
      <c r="T333" s="369"/>
      <c r="U333" s="369"/>
      <c r="V333" s="369"/>
      <c r="W333" s="369"/>
      <c r="X333" s="369"/>
      <c r="Y333" s="369"/>
      <c r="Z333" s="369"/>
    </row>
    <row r="334" spans="1:26" ht="14.25" customHeight="1">
      <c r="A334" s="369"/>
      <c r="B334" s="369"/>
      <c r="C334" s="369"/>
      <c r="D334" s="369"/>
      <c r="E334" s="369"/>
      <c r="F334" s="369"/>
      <c r="G334" s="369"/>
      <c r="H334" s="370"/>
      <c r="I334" s="371"/>
      <c r="J334" s="371"/>
      <c r="K334" s="370"/>
      <c r="L334" s="369"/>
      <c r="M334" s="369"/>
      <c r="N334" s="369"/>
      <c r="O334" s="369"/>
      <c r="P334" s="369"/>
      <c r="Q334" s="369"/>
      <c r="R334" s="369"/>
      <c r="S334" s="369"/>
      <c r="T334" s="369"/>
      <c r="U334" s="369"/>
      <c r="V334" s="369"/>
      <c r="W334" s="369"/>
      <c r="X334" s="369"/>
      <c r="Y334" s="369"/>
      <c r="Z334" s="369"/>
    </row>
    <row r="335" spans="1:26" ht="14.25" customHeight="1">
      <c r="A335" s="369"/>
      <c r="B335" s="369"/>
      <c r="C335" s="369"/>
      <c r="D335" s="369"/>
      <c r="E335" s="369"/>
      <c r="F335" s="369"/>
      <c r="G335" s="369"/>
      <c r="H335" s="370"/>
      <c r="I335" s="371"/>
      <c r="J335" s="371"/>
      <c r="K335" s="370"/>
      <c r="L335" s="369"/>
      <c r="M335" s="369"/>
      <c r="N335" s="369"/>
      <c r="O335" s="369"/>
      <c r="P335" s="369"/>
      <c r="Q335" s="369"/>
      <c r="R335" s="369"/>
      <c r="S335" s="369"/>
      <c r="T335" s="369"/>
      <c r="U335" s="369"/>
      <c r="V335" s="369"/>
      <c r="W335" s="369"/>
      <c r="X335" s="369"/>
      <c r="Y335" s="369"/>
      <c r="Z335" s="369"/>
    </row>
    <row r="336" spans="1:26" ht="14.25" customHeight="1">
      <c r="A336" s="369"/>
      <c r="B336" s="369"/>
      <c r="C336" s="369"/>
      <c r="D336" s="369"/>
      <c r="E336" s="369"/>
      <c r="F336" s="369"/>
      <c r="G336" s="369"/>
      <c r="H336" s="370"/>
      <c r="I336" s="371"/>
      <c r="J336" s="371"/>
      <c r="K336" s="370"/>
      <c r="L336" s="369"/>
      <c r="M336" s="369"/>
      <c r="N336" s="369"/>
      <c r="O336" s="369"/>
      <c r="P336" s="369"/>
      <c r="Q336" s="369"/>
      <c r="R336" s="369"/>
      <c r="S336" s="369"/>
      <c r="T336" s="369"/>
      <c r="U336" s="369"/>
      <c r="V336" s="369"/>
      <c r="W336" s="369"/>
      <c r="X336" s="369"/>
      <c r="Y336" s="369"/>
      <c r="Z336" s="369"/>
    </row>
    <row r="337" spans="1:26" ht="14.25" customHeight="1">
      <c r="A337" s="369"/>
      <c r="B337" s="369"/>
      <c r="C337" s="369"/>
      <c r="D337" s="369"/>
      <c r="E337" s="369"/>
      <c r="F337" s="369"/>
      <c r="G337" s="369"/>
      <c r="H337" s="370"/>
      <c r="I337" s="371"/>
      <c r="J337" s="371"/>
      <c r="K337" s="370"/>
      <c r="L337" s="369"/>
      <c r="M337" s="369"/>
      <c r="N337" s="369"/>
      <c r="O337" s="369"/>
      <c r="P337" s="369"/>
      <c r="Q337" s="369"/>
      <c r="R337" s="369"/>
      <c r="S337" s="369"/>
      <c r="T337" s="369"/>
      <c r="U337" s="369"/>
      <c r="V337" s="369"/>
      <c r="W337" s="369"/>
      <c r="X337" s="369"/>
      <c r="Y337" s="369"/>
      <c r="Z337" s="369"/>
    </row>
    <row r="338" spans="1:26" ht="14.25" customHeight="1">
      <c r="A338" s="369"/>
      <c r="B338" s="369"/>
      <c r="C338" s="369"/>
      <c r="D338" s="369"/>
      <c r="E338" s="369"/>
      <c r="F338" s="369"/>
      <c r="G338" s="369"/>
      <c r="H338" s="370"/>
      <c r="I338" s="371"/>
      <c r="J338" s="371"/>
      <c r="K338" s="370"/>
      <c r="L338" s="369"/>
      <c r="M338" s="369"/>
      <c r="N338" s="369"/>
      <c r="O338" s="369"/>
      <c r="P338" s="369"/>
      <c r="Q338" s="369"/>
      <c r="R338" s="369"/>
      <c r="S338" s="369"/>
      <c r="T338" s="369"/>
      <c r="U338" s="369"/>
      <c r="V338" s="369"/>
      <c r="W338" s="369"/>
      <c r="X338" s="369"/>
      <c r="Y338" s="369"/>
      <c r="Z338" s="369"/>
    </row>
    <row r="339" spans="1:26" ht="14.25" customHeight="1">
      <c r="A339" s="369"/>
      <c r="B339" s="369"/>
      <c r="C339" s="369"/>
      <c r="D339" s="369"/>
      <c r="E339" s="369"/>
      <c r="F339" s="369"/>
      <c r="G339" s="369"/>
      <c r="H339" s="370"/>
      <c r="I339" s="371"/>
      <c r="J339" s="371"/>
      <c r="K339" s="370"/>
      <c r="L339" s="369"/>
      <c r="M339" s="369"/>
      <c r="N339" s="369"/>
      <c r="O339" s="369"/>
      <c r="P339" s="369"/>
      <c r="Q339" s="369"/>
      <c r="R339" s="369"/>
      <c r="S339" s="369"/>
      <c r="T339" s="369"/>
      <c r="U339" s="369"/>
      <c r="V339" s="369"/>
      <c r="W339" s="369"/>
      <c r="X339" s="369"/>
      <c r="Y339" s="369"/>
      <c r="Z339" s="369"/>
    </row>
    <row r="340" spans="1:26" ht="14.25" customHeight="1">
      <c r="A340" s="369"/>
      <c r="B340" s="369"/>
      <c r="C340" s="369"/>
      <c r="D340" s="369"/>
      <c r="E340" s="369"/>
      <c r="F340" s="369"/>
      <c r="G340" s="369"/>
      <c r="H340" s="370"/>
      <c r="I340" s="371"/>
      <c r="J340" s="371"/>
      <c r="K340" s="370"/>
      <c r="L340" s="369"/>
      <c r="M340" s="369"/>
      <c r="N340" s="369"/>
      <c r="O340" s="369"/>
      <c r="P340" s="369"/>
      <c r="Q340" s="369"/>
      <c r="R340" s="369"/>
      <c r="S340" s="369"/>
      <c r="T340" s="369"/>
      <c r="U340" s="369"/>
      <c r="V340" s="369"/>
      <c r="W340" s="369"/>
      <c r="X340" s="369"/>
      <c r="Y340" s="369"/>
      <c r="Z340" s="369"/>
    </row>
    <row r="341" spans="1:26" ht="14.25" customHeight="1">
      <c r="A341" s="369"/>
      <c r="B341" s="369"/>
      <c r="C341" s="369"/>
      <c r="D341" s="369"/>
      <c r="E341" s="369"/>
      <c r="F341" s="369"/>
      <c r="G341" s="369"/>
      <c r="H341" s="370"/>
      <c r="I341" s="371"/>
      <c r="J341" s="371"/>
      <c r="K341" s="370"/>
      <c r="L341" s="369"/>
      <c r="M341" s="369"/>
      <c r="N341" s="369"/>
      <c r="O341" s="369"/>
      <c r="P341" s="369"/>
      <c r="Q341" s="369"/>
      <c r="R341" s="369"/>
      <c r="S341" s="369"/>
      <c r="T341" s="369"/>
      <c r="U341" s="369"/>
      <c r="V341" s="369"/>
      <c r="W341" s="369"/>
      <c r="X341" s="369"/>
      <c r="Y341" s="369"/>
      <c r="Z341" s="369"/>
    </row>
    <row r="342" spans="1:26" ht="14.25" customHeight="1">
      <c r="A342" s="369"/>
      <c r="B342" s="369"/>
      <c r="C342" s="369"/>
      <c r="D342" s="369"/>
      <c r="E342" s="369"/>
      <c r="F342" s="369"/>
      <c r="G342" s="369"/>
      <c r="H342" s="370"/>
      <c r="I342" s="371"/>
      <c r="J342" s="371"/>
      <c r="K342" s="370"/>
      <c r="L342" s="369"/>
      <c r="M342" s="369"/>
      <c r="N342" s="369"/>
      <c r="O342" s="369"/>
      <c r="P342" s="369"/>
      <c r="Q342" s="369"/>
      <c r="R342" s="369"/>
      <c r="S342" s="369"/>
      <c r="T342" s="369"/>
      <c r="U342" s="369"/>
      <c r="V342" s="369"/>
      <c r="W342" s="369"/>
      <c r="X342" s="369"/>
      <c r="Y342" s="369"/>
      <c r="Z342" s="369"/>
    </row>
    <row r="343" spans="1:26" ht="14.25" customHeight="1">
      <c r="A343" s="369"/>
      <c r="B343" s="369"/>
      <c r="C343" s="369"/>
      <c r="D343" s="369"/>
      <c r="E343" s="369"/>
      <c r="F343" s="369"/>
      <c r="G343" s="369"/>
      <c r="H343" s="370"/>
      <c r="I343" s="371"/>
      <c r="J343" s="371"/>
      <c r="K343" s="370"/>
      <c r="L343" s="369"/>
      <c r="M343" s="369"/>
      <c r="N343" s="369"/>
      <c r="O343" s="369"/>
      <c r="P343" s="369"/>
      <c r="Q343" s="369"/>
      <c r="R343" s="369"/>
      <c r="S343" s="369"/>
      <c r="T343" s="369"/>
      <c r="U343" s="369"/>
      <c r="V343" s="369"/>
      <c r="W343" s="369"/>
      <c r="X343" s="369"/>
      <c r="Y343" s="369"/>
      <c r="Z343" s="369"/>
    </row>
    <row r="344" spans="1:26" ht="14.25" customHeight="1">
      <c r="A344" s="369"/>
      <c r="B344" s="369"/>
      <c r="C344" s="369"/>
      <c r="D344" s="369"/>
      <c r="E344" s="369"/>
      <c r="F344" s="369"/>
      <c r="G344" s="369"/>
      <c r="H344" s="370"/>
      <c r="I344" s="371"/>
      <c r="J344" s="371"/>
      <c r="K344" s="370"/>
      <c r="L344" s="369"/>
      <c r="M344" s="369"/>
      <c r="N344" s="369"/>
      <c r="O344" s="369"/>
      <c r="P344" s="369"/>
      <c r="Q344" s="369"/>
      <c r="R344" s="369"/>
      <c r="S344" s="369"/>
      <c r="T344" s="369"/>
      <c r="U344" s="369"/>
      <c r="V344" s="369"/>
      <c r="W344" s="369"/>
      <c r="X344" s="369"/>
      <c r="Y344" s="369"/>
      <c r="Z344" s="369"/>
    </row>
    <row r="345" spans="1:26" ht="14.25" customHeight="1">
      <c r="A345" s="369"/>
      <c r="B345" s="369"/>
      <c r="C345" s="369"/>
      <c r="D345" s="369"/>
      <c r="E345" s="369"/>
      <c r="F345" s="369"/>
      <c r="G345" s="369"/>
      <c r="H345" s="370"/>
      <c r="I345" s="371"/>
      <c r="J345" s="371"/>
      <c r="K345" s="370"/>
      <c r="L345" s="369"/>
      <c r="M345" s="369"/>
      <c r="N345" s="369"/>
      <c r="O345" s="369"/>
      <c r="P345" s="369"/>
      <c r="Q345" s="369"/>
      <c r="R345" s="369"/>
      <c r="S345" s="369"/>
      <c r="T345" s="369"/>
      <c r="U345" s="369"/>
      <c r="V345" s="369"/>
      <c r="W345" s="369"/>
      <c r="X345" s="369"/>
      <c r="Y345" s="369"/>
      <c r="Z345" s="369"/>
    </row>
    <row r="346" spans="1:26" ht="14.25" customHeight="1">
      <c r="A346" s="369"/>
      <c r="B346" s="369"/>
      <c r="C346" s="369"/>
      <c r="D346" s="369"/>
      <c r="E346" s="369"/>
      <c r="F346" s="369"/>
      <c r="G346" s="369"/>
      <c r="H346" s="370"/>
      <c r="I346" s="371"/>
      <c r="J346" s="371"/>
      <c r="K346" s="370"/>
      <c r="L346" s="369"/>
      <c r="M346" s="369"/>
      <c r="N346" s="369"/>
      <c r="O346" s="369"/>
      <c r="P346" s="369"/>
      <c r="Q346" s="369"/>
      <c r="R346" s="369"/>
      <c r="S346" s="369"/>
      <c r="T346" s="369"/>
      <c r="U346" s="369"/>
      <c r="V346" s="369"/>
      <c r="W346" s="369"/>
      <c r="X346" s="369"/>
      <c r="Y346" s="369"/>
      <c r="Z346" s="369"/>
    </row>
    <row r="347" spans="1:26" ht="14.25" customHeight="1">
      <c r="A347" s="369"/>
      <c r="B347" s="369"/>
      <c r="C347" s="369"/>
      <c r="D347" s="369"/>
      <c r="E347" s="369"/>
      <c r="F347" s="369"/>
      <c r="G347" s="369"/>
      <c r="H347" s="370"/>
      <c r="I347" s="371"/>
      <c r="J347" s="371"/>
      <c r="K347" s="370"/>
      <c r="L347" s="369"/>
      <c r="M347" s="369"/>
      <c r="N347" s="369"/>
      <c r="O347" s="369"/>
      <c r="P347" s="369"/>
      <c r="Q347" s="369"/>
      <c r="R347" s="369"/>
      <c r="S347" s="369"/>
      <c r="T347" s="369"/>
      <c r="U347" s="369"/>
      <c r="V347" s="369"/>
      <c r="W347" s="369"/>
      <c r="X347" s="369"/>
      <c r="Y347" s="369"/>
      <c r="Z347" s="369"/>
    </row>
    <row r="348" spans="1:26" ht="14.25" customHeight="1">
      <c r="A348" s="369"/>
      <c r="B348" s="369"/>
      <c r="C348" s="369"/>
      <c r="D348" s="369"/>
      <c r="E348" s="369"/>
      <c r="F348" s="369"/>
      <c r="G348" s="369"/>
      <c r="H348" s="370"/>
      <c r="I348" s="371"/>
      <c r="J348" s="371"/>
      <c r="K348" s="370"/>
      <c r="L348" s="369"/>
      <c r="M348" s="369"/>
      <c r="N348" s="369"/>
      <c r="O348" s="369"/>
      <c r="P348" s="369"/>
      <c r="Q348" s="369"/>
      <c r="R348" s="369"/>
      <c r="S348" s="369"/>
      <c r="T348" s="369"/>
      <c r="U348" s="369"/>
      <c r="V348" s="369"/>
      <c r="W348" s="369"/>
      <c r="X348" s="369"/>
      <c r="Y348" s="369"/>
      <c r="Z348" s="369"/>
    </row>
    <row r="349" spans="1:26" ht="14.25" customHeight="1">
      <c r="A349" s="369"/>
      <c r="B349" s="369"/>
      <c r="C349" s="369"/>
      <c r="D349" s="369"/>
      <c r="E349" s="369"/>
      <c r="F349" s="369"/>
      <c r="G349" s="369"/>
      <c r="H349" s="370"/>
      <c r="I349" s="371"/>
      <c r="J349" s="371"/>
      <c r="K349" s="370"/>
      <c r="L349" s="369"/>
      <c r="M349" s="369"/>
      <c r="N349" s="369"/>
      <c r="O349" s="369"/>
      <c r="P349" s="369"/>
      <c r="Q349" s="369"/>
      <c r="R349" s="369"/>
      <c r="S349" s="369"/>
      <c r="T349" s="369"/>
      <c r="U349" s="369"/>
      <c r="V349" s="369"/>
      <c r="W349" s="369"/>
      <c r="X349" s="369"/>
      <c r="Y349" s="369"/>
      <c r="Z349" s="369"/>
    </row>
    <row r="350" spans="1:26" ht="14.25" customHeight="1">
      <c r="A350" s="369"/>
      <c r="B350" s="369"/>
      <c r="C350" s="369"/>
      <c r="D350" s="369"/>
      <c r="E350" s="369"/>
      <c r="F350" s="369"/>
      <c r="G350" s="369"/>
      <c r="H350" s="370"/>
      <c r="I350" s="371"/>
      <c r="J350" s="371"/>
      <c r="K350" s="370"/>
      <c r="L350" s="369"/>
      <c r="M350" s="369"/>
      <c r="N350" s="369"/>
      <c r="O350" s="369"/>
      <c r="P350" s="369"/>
      <c r="Q350" s="369"/>
      <c r="R350" s="369"/>
      <c r="S350" s="369"/>
      <c r="T350" s="369"/>
      <c r="U350" s="369"/>
      <c r="V350" s="369"/>
      <c r="W350" s="369"/>
      <c r="X350" s="369"/>
      <c r="Y350" s="369"/>
      <c r="Z350" s="369"/>
    </row>
    <row r="351" spans="1:26" ht="14.25" customHeight="1">
      <c r="A351" s="369"/>
      <c r="B351" s="369"/>
      <c r="C351" s="369"/>
      <c r="D351" s="369"/>
      <c r="E351" s="369"/>
      <c r="F351" s="369"/>
      <c r="G351" s="369"/>
      <c r="H351" s="370"/>
      <c r="I351" s="371"/>
      <c r="J351" s="371"/>
      <c r="K351" s="370"/>
      <c r="L351" s="369"/>
      <c r="M351" s="369"/>
      <c r="N351" s="369"/>
      <c r="O351" s="369"/>
      <c r="P351" s="369"/>
      <c r="Q351" s="369"/>
      <c r="R351" s="369"/>
      <c r="S351" s="369"/>
      <c r="T351" s="369"/>
      <c r="U351" s="369"/>
      <c r="V351" s="369"/>
      <c r="W351" s="369"/>
      <c r="X351" s="369"/>
      <c r="Y351" s="369"/>
      <c r="Z351" s="369"/>
    </row>
    <row r="352" spans="1:26" ht="14.25" customHeight="1">
      <c r="A352" s="369"/>
      <c r="B352" s="369"/>
      <c r="C352" s="369"/>
      <c r="D352" s="369"/>
      <c r="E352" s="369"/>
      <c r="F352" s="369"/>
      <c r="G352" s="369"/>
      <c r="H352" s="370"/>
      <c r="I352" s="371"/>
      <c r="J352" s="371"/>
      <c r="K352" s="370"/>
      <c r="L352" s="369"/>
      <c r="M352" s="369"/>
      <c r="N352" s="369"/>
      <c r="O352" s="369"/>
      <c r="P352" s="369"/>
      <c r="Q352" s="369"/>
      <c r="R352" s="369"/>
      <c r="S352" s="369"/>
      <c r="T352" s="369"/>
      <c r="U352" s="369"/>
      <c r="V352" s="369"/>
      <c r="W352" s="369"/>
      <c r="X352" s="369"/>
      <c r="Y352" s="369"/>
      <c r="Z352" s="369"/>
    </row>
    <row r="353" spans="1:26" ht="14.25" customHeight="1">
      <c r="A353" s="369"/>
      <c r="B353" s="369"/>
      <c r="C353" s="369"/>
      <c r="D353" s="369"/>
      <c r="E353" s="369"/>
      <c r="F353" s="369"/>
      <c r="G353" s="369"/>
      <c r="H353" s="370"/>
      <c r="I353" s="371"/>
      <c r="J353" s="371"/>
      <c r="K353" s="370"/>
      <c r="L353" s="369"/>
      <c r="M353" s="369"/>
      <c r="N353" s="369"/>
      <c r="O353" s="369"/>
      <c r="P353" s="369"/>
      <c r="Q353" s="369"/>
      <c r="R353" s="369"/>
      <c r="S353" s="369"/>
      <c r="T353" s="369"/>
      <c r="U353" s="369"/>
      <c r="V353" s="369"/>
      <c r="W353" s="369"/>
      <c r="X353" s="369"/>
      <c r="Y353" s="369"/>
      <c r="Z353" s="369"/>
    </row>
    <row r="354" spans="1:26" ht="14.25" customHeight="1">
      <c r="A354" s="369"/>
      <c r="B354" s="369"/>
      <c r="C354" s="369"/>
      <c r="D354" s="369"/>
      <c r="E354" s="369"/>
      <c r="F354" s="369"/>
      <c r="G354" s="369"/>
      <c r="H354" s="370"/>
      <c r="I354" s="371"/>
      <c r="J354" s="371"/>
      <c r="K354" s="370"/>
      <c r="L354" s="369"/>
      <c r="M354" s="369"/>
      <c r="N354" s="369"/>
      <c r="O354" s="369"/>
      <c r="P354" s="369"/>
      <c r="Q354" s="369"/>
      <c r="R354" s="369"/>
      <c r="S354" s="369"/>
      <c r="T354" s="369"/>
      <c r="U354" s="369"/>
      <c r="V354" s="369"/>
      <c r="W354" s="369"/>
      <c r="X354" s="369"/>
      <c r="Y354" s="369"/>
      <c r="Z354" s="369"/>
    </row>
    <row r="355" spans="1:26" ht="14.25" customHeight="1">
      <c r="A355" s="369"/>
      <c r="B355" s="369"/>
      <c r="C355" s="369"/>
      <c r="D355" s="369"/>
      <c r="E355" s="369"/>
      <c r="F355" s="369"/>
      <c r="G355" s="369"/>
      <c r="H355" s="370"/>
      <c r="I355" s="371"/>
      <c r="J355" s="371"/>
      <c r="K355" s="370"/>
      <c r="L355" s="369"/>
      <c r="M355" s="369"/>
      <c r="N355" s="369"/>
      <c r="O355" s="369"/>
      <c r="P355" s="369"/>
      <c r="Q355" s="369"/>
      <c r="R355" s="369"/>
      <c r="S355" s="369"/>
      <c r="T355" s="369"/>
      <c r="U355" s="369"/>
      <c r="V355" s="369"/>
      <c r="W355" s="369"/>
      <c r="X355" s="369"/>
      <c r="Y355" s="369"/>
      <c r="Z355" s="369"/>
    </row>
    <row r="356" spans="1:26" ht="14.25" customHeight="1">
      <c r="A356" s="369"/>
      <c r="B356" s="369"/>
      <c r="C356" s="369"/>
      <c r="D356" s="369"/>
      <c r="E356" s="369"/>
      <c r="F356" s="369"/>
      <c r="G356" s="369"/>
      <c r="H356" s="370"/>
      <c r="I356" s="371"/>
      <c r="J356" s="371"/>
      <c r="K356" s="370"/>
      <c r="L356" s="369"/>
      <c r="M356" s="369"/>
      <c r="N356" s="369"/>
      <c r="O356" s="369"/>
      <c r="P356" s="369"/>
      <c r="Q356" s="369"/>
      <c r="R356" s="369"/>
      <c r="S356" s="369"/>
      <c r="T356" s="369"/>
      <c r="U356" s="369"/>
      <c r="V356" s="369"/>
      <c r="W356" s="369"/>
      <c r="X356" s="369"/>
      <c r="Y356" s="369"/>
      <c r="Z356" s="369"/>
    </row>
    <row r="357" spans="1:26" ht="14.25" customHeight="1">
      <c r="A357" s="369"/>
      <c r="B357" s="369"/>
      <c r="C357" s="369"/>
      <c r="D357" s="369"/>
      <c r="E357" s="369"/>
      <c r="F357" s="369"/>
      <c r="G357" s="369"/>
      <c r="H357" s="370"/>
      <c r="I357" s="371"/>
      <c r="J357" s="371"/>
      <c r="K357" s="370"/>
      <c r="L357" s="369"/>
      <c r="M357" s="369"/>
      <c r="N357" s="369"/>
      <c r="O357" s="369"/>
      <c r="P357" s="369"/>
      <c r="Q357" s="369"/>
      <c r="R357" s="369"/>
      <c r="S357" s="369"/>
      <c r="T357" s="369"/>
      <c r="U357" s="369"/>
      <c r="V357" s="369"/>
      <c r="W357" s="369"/>
      <c r="X357" s="369"/>
      <c r="Y357" s="369"/>
      <c r="Z357" s="369"/>
    </row>
    <row r="358" spans="1:26" ht="14.25" customHeight="1">
      <c r="A358" s="369"/>
      <c r="B358" s="369"/>
      <c r="C358" s="369"/>
      <c r="D358" s="369"/>
      <c r="E358" s="369"/>
      <c r="F358" s="369"/>
      <c r="G358" s="369"/>
      <c r="H358" s="370"/>
      <c r="I358" s="371"/>
      <c r="J358" s="371"/>
      <c r="K358" s="370"/>
      <c r="L358" s="369"/>
      <c r="M358" s="369"/>
      <c r="N358" s="369"/>
      <c r="O358" s="369"/>
      <c r="P358" s="369"/>
      <c r="Q358" s="369"/>
      <c r="R358" s="369"/>
      <c r="S358" s="369"/>
      <c r="T358" s="369"/>
      <c r="U358" s="369"/>
      <c r="V358" s="369"/>
      <c r="W358" s="369"/>
      <c r="X358" s="369"/>
      <c r="Y358" s="369"/>
      <c r="Z358" s="369"/>
    </row>
    <row r="359" spans="1:26" ht="14.25" customHeight="1">
      <c r="A359" s="369"/>
      <c r="B359" s="369"/>
      <c r="C359" s="369"/>
      <c r="D359" s="369"/>
      <c r="E359" s="369"/>
      <c r="F359" s="369"/>
      <c r="G359" s="369"/>
      <c r="H359" s="370"/>
      <c r="I359" s="371"/>
      <c r="J359" s="371"/>
      <c r="K359" s="370"/>
      <c r="L359" s="369"/>
      <c r="M359" s="369"/>
      <c r="N359" s="369"/>
      <c r="O359" s="369"/>
      <c r="P359" s="369"/>
      <c r="Q359" s="369"/>
      <c r="R359" s="369"/>
      <c r="S359" s="369"/>
      <c r="T359" s="369"/>
      <c r="U359" s="369"/>
      <c r="V359" s="369"/>
      <c r="W359" s="369"/>
      <c r="X359" s="369"/>
      <c r="Y359" s="369"/>
      <c r="Z359" s="369"/>
    </row>
    <row r="360" spans="1:26" ht="14.25" customHeight="1">
      <c r="A360" s="369"/>
      <c r="B360" s="369"/>
      <c r="C360" s="369"/>
      <c r="D360" s="369"/>
      <c r="E360" s="369"/>
      <c r="F360" s="369"/>
      <c r="G360" s="369"/>
      <c r="H360" s="370"/>
      <c r="I360" s="371"/>
      <c r="J360" s="371"/>
      <c r="K360" s="370"/>
      <c r="L360" s="369"/>
      <c r="M360" s="369"/>
      <c r="N360" s="369"/>
      <c r="O360" s="369"/>
      <c r="P360" s="369"/>
      <c r="Q360" s="369"/>
      <c r="R360" s="369"/>
      <c r="S360" s="369"/>
      <c r="T360" s="369"/>
      <c r="U360" s="369"/>
      <c r="V360" s="369"/>
      <c r="W360" s="369"/>
      <c r="X360" s="369"/>
      <c r="Y360" s="369"/>
      <c r="Z360" s="369"/>
    </row>
    <row r="361" spans="1:26" ht="14.25" customHeight="1">
      <c r="A361" s="369"/>
      <c r="B361" s="369"/>
      <c r="C361" s="369"/>
      <c r="D361" s="369"/>
      <c r="E361" s="369"/>
      <c r="F361" s="369"/>
      <c r="G361" s="369"/>
      <c r="H361" s="370"/>
      <c r="I361" s="371"/>
      <c r="J361" s="371"/>
      <c r="K361" s="370"/>
      <c r="L361" s="369"/>
      <c r="M361" s="369"/>
      <c r="N361" s="369"/>
      <c r="O361" s="369"/>
      <c r="P361" s="369"/>
      <c r="Q361" s="369"/>
      <c r="R361" s="369"/>
      <c r="S361" s="369"/>
      <c r="T361" s="369"/>
      <c r="U361" s="369"/>
      <c r="V361" s="369"/>
      <c r="W361" s="369"/>
      <c r="X361" s="369"/>
      <c r="Y361" s="369"/>
      <c r="Z361" s="369"/>
    </row>
    <row r="362" spans="1:26" ht="14.25" customHeight="1">
      <c r="A362" s="369"/>
      <c r="B362" s="369"/>
      <c r="C362" s="369"/>
      <c r="D362" s="369"/>
      <c r="E362" s="369"/>
      <c r="F362" s="369"/>
      <c r="G362" s="369"/>
      <c r="H362" s="370"/>
      <c r="I362" s="371"/>
      <c r="J362" s="371"/>
      <c r="K362" s="370"/>
      <c r="L362" s="369"/>
      <c r="M362" s="369"/>
      <c r="N362" s="369"/>
      <c r="O362" s="369"/>
      <c r="P362" s="369"/>
      <c r="Q362" s="369"/>
      <c r="R362" s="369"/>
      <c r="S362" s="369"/>
      <c r="T362" s="369"/>
      <c r="U362" s="369"/>
      <c r="V362" s="369"/>
      <c r="W362" s="369"/>
      <c r="X362" s="369"/>
      <c r="Y362" s="369"/>
      <c r="Z362" s="369"/>
    </row>
    <row r="363" spans="1:26" ht="14.25" customHeight="1">
      <c r="A363" s="369"/>
      <c r="B363" s="369"/>
      <c r="C363" s="369"/>
      <c r="D363" s="369"/>
      <c r="E363" s="369"/>
      <c r="F363" s="369"/>
      <c r="G363" s="369"/>
      <c r="H363" s="370"/>
      <c r="I363" s="371"/>
      <c r="J363" s="371"/>
      <c r="K363" s="370"/>
      <c r="L363" s="369"/>
      <c r="M363" s="369"/>
      <c r="N363" s="369"/>
      <c r="O363" s="369"/>
      <c r="P363" s="369"/>
      <c r="Q363" s="369"/>
      <c r="R363" s="369"/>
      <c r="S363" s="369"/>
      <c r="T363" s="369"/>
      <c r="U363" s="369"/>
      <c r="V363" s="369"/>
      <c r="W363" s="369"/>
      <c r="X363" s="369"/>
      <c r="Y363" s="369"/>
      <c r="Z363" s="369"/>
    </row>
    <row r="364" spans="1:26" ht="14.25" customHeight="1">
      <c r="A364" s="369"/>
      <c r="B364" s="369"/>
      <c r="C364" s="369"/>
      <c r="D364" s="369"/>
      <c r="E364" s="369"/>
      <c r="F364" s="369"/>
      <c r="G364" s="369"/>
      <c r="H364" s="370"/>
      <c r="I364" s="371"/>
      <c r="J364" s="371"/>
      <c r="K364" s="370"/>
      <c r="L364" s="369"/>
      <c r="M364" s="369"/>
      <c r="N364" s="369"/>
      <c r="O364" s="369"/>
      <c r="P364" s="369"/>
      <c r="Q364" s="369"/>
      <c r="R364" s="369"/>
      <c r="S364" s="369"/>
      <c r="T364" s="369"/>
      <c r="U364" s="369"/>
      <c r="V364" s="369"/>
      <c r="W364" s="369"/>
      <c r="X364" s="369"/>
      <c r="Y364" s="369"/>
      <c r="Z364" s="369"/>
    </row>
    <row r="365" spans="1:26" ht="14.25" customHeight="1">
      <c r="A365" s="369"/>
      <c r="B365" s="369"/>
      <c r="C365" s="369"/>
      <c r="D365" s="369"/>
      <c r="E365" s="369"/>
      <c r="F365" s="369"/>
      <c r="G365" s="369"/>
      <c r="H365" s="370"/>
      <c r="I365" s="371"/>
      <c r="J365" s="371"/>
      <c r="K365" s="370"/>
      <c r="L365" s="369"/>
      <c r="M365" s="369"/>
      <c r="N365" s="369"/>
      <c r="O365" s="369"/>
      <c r="P365" s="369"/>
      <c r="Q365" s="369"/>
      <c r="R365" s="369"/>
      <c r="S365" s="369"/>
      <c r="T365" s="369"/>
      <c r="U365" s="369"/>
      <c r="V365" s="369"/>
      <c r="W365" s="369"/>
      <c r="X365" s="369"/>
      <c r="Y365" s="369"/>
      <c r="Z365" s="369"/>
    </row>
    <row r="366" spans="1:26" ht="14.25" customHeight="1">
      <c r="A366" s="369"/>
      <c r="B366" s="369"/>
      <c r="C366" s="369"/>
      <c r="D366" s="369"/>
      <c r="E366" s="369"/>
      <c r="F366" s="369"/>
      <c r="G366" s="369"/>
      <c r="H366" s="370"/>
      <c r="I366" s="371"/>
      <c r="J366" s="371"/>
      <c r="K366" s="370"/>
      <c r="L366" s="369"/>
      <c r="M366" s="369"/>
      <c r="N366" s="369"/>
      <c r="O366" s="369"/>
      <c r="P366" s="369"/>
      <c r="Q366" s="369"/>
      <c r="R366" s="369"/>
      <c r="S366" s="369"/>
      <c r="T366" s="369"/>
      <c r="U366" s="369"/>
      <c r="V366" s="369"/>
      <c r="W366" s="369"/>
      <c r="X366" s="369"/>
      <c r="Y366" s="369"/>
      <c r="Z366" s="369"/>
    </row>
    <row r="367" spans="1:26" ht="14.25" customHeight="1">
      <c r="A367" s="369"/>
      <c r="B367" s="369"/>
      <c r="C367" s="369"/>
      <c r="D367" s="369"/>
      <c r="E367" s="369"/>
      <c r="F367" s="369"/>
      <c r="G367" s="369"/>
      <c r="H367" s="370"/>
      <c r="I367" s="371"/>
      <c r="J367" s="371"/>
      <c r="K367" s="370"/>
      <c r="L367" s="369"/>
      <c r="M367" s="369"/>
      <c r="N367" s="369"/>
      <c r="O367" s="369"/>
      <c r="P367" s="369"/>
      <c r="Q367" s="369"/>
      <c r="R367" s="369"/>
      <c r="S367" s="369"/>
      <c r="T367" s="369"/>
      <c r="U367" s="369"/>
      <c r="V367" s="369"/>
      <c r="W367" s="369"/>
      <c r="X367" s="369"/>
      <c r="Y367" s="369"/>
      <c r="Z367" s="369"/>
    </row>
    <row r="368" spans="1:26" ht="14.25" customHeight="1">
      <c r="A368" s="369"/>
      <c r="B368" s="369"/>
      <c r="C368" s="369"/>
      <c r="D368" s="369"/>
      <c r="E368" s="369"/>
      <c r="F368" s="369"/>
      <c r="G368" s="369"/>
      <c r="H368" s="370"/>
      <c r="I368" s="371"/>
      <c r="J368" s="371"/>
      <c r="K368" s="370"/>
      <c r="L368" s="369"/>
      <c r="M368" s="369"/>
      <c r="N368" s="369"/>
      <c r="O368" s="369"/>
      <c r="P368" s="369"/>
      <c r="Q368" s="369"/>
      <c r="R368" s="369"/>
      <c r="S368" s="369"/>
      <c r="T368" s="369"/>
      <c r="U368" s="369"/>
      <c r="V368" s="369"/>
      <c r="W368" s="369"/>
      <c r="X368" s="369"/>
      <c r="Y368" s="369"/>
      <c r="Z368" s="369"/>
    </row>
    <row r="369" spans="1:26" ht="14.25" customHeight="1">
      <c r="A369" s="369"/>
      <c r="B369" s="369"/>
      <c r="C369" s="369"/>
      <c r="D369" s="369"/>
      <c r="E369" s="369"/>
      <c r="F369" s="369"/>
      <c r="G369" s="369"/>
      <c r="H369" s="370"/>
      <c r="I369" s="371"/>
      <c r="J369" s="371"/>
      <c r="K369" s="370"/>
      <c r="L369" s="369"/>
      <c r="M369" s="369"/>
      <c r="N369" s="369"/>
      <c r="O369" s="369"/>
      <c r="P369" s="369"/>
      <c r="Q369" s="369"/>
      <c r="R369" s="369"/>
      <c r="S369" s="369"/>
      <c r="T369" s="369"/>
      <c r="U369" s="369"/>
      <c r="V369" s="369"/>
      <c r="W369" s="369"/>
      <c r="X369" s="369"/>
      <c r="Y369" s="369"/>
      <c r="Z369" s="369"/>
    </row>
    <row r="370" spans="1:26" ht="14.25" customHeight="1">
      <c r="A370" s="369"/>
      <c r="B370" s="369"/>
      <c r="C370" s="369"/>
      <c r="D370" s="369"/>
      <c r="E370" s="369"/>
      <c r="F370" s="369"/>
      <c r="G370" s="369"/>
      <c r="H370" s="370"/>
      <c r="I370" s="371"/>
      <c r="J370" s="371"/>
      <c r="K370" s="370"/>
      <c r="L370" s="369"/>
      <c r="M370" s="369"/>
      <c r="N370" s="369"/>
      <c r="O370" s="369"/>
      <c r="P370" s="369"/>
      <c r="Q370" s="369"/>
      <c r="R370" s="369"/>
      <c r="S370" s="369"/>
      <c r="T370" s="369"/>
      <c r="U370" s="369"/>
      <c r="V370" s="369"/>
      <c r="W370" s="369"/>
      <c r="X370" s="369"/>
      <c r="Y370" s="369"/>
      <c r="Z370" s="369"/>
    </row>
    <row r="371" spans="1:26" ht="14.25" customHeight="1">
      <c r="A371" s="369"/>
      <c r="B371" s="369"/>
      <c r="C371" s="369"/>
      <c r="D371" s="369"/>
      <c r="E371" s="369"/>
      <c r="F371" s="369"/>
      <c r="G371" s="369"/>
      <c r="H371" s="370"/>
      <c r="I371" s="371"/>
      <c r="J371" s="371"/>
      <c r="K371" s="370"/>
      <c r="L371" s="369"/>
      <c r="M371" s="369"/>
      <c r="N371" s="369"/>
      <c r="O371" s="369"/>
      <c r="P371" s="369"/>
      <c r="Q371" s="369"/>
      <c r="R371" s="369"/>
      <c r="S371" s="369"/>
      <c r="T371" s="369"/>
      <c r="U371" s="369"/>
      <c r="V371" s="369"/>
      <c r="W371" s="369"/>
      <c r="X371" s="369"/>
      <c r="Y371" s="369"/>
      <c r="Z371" s="369"/>
    </row>
    <row r="372" spans="1:26" ht="14.25" customHeight="1">
      <c r="A372" s="369"/>
      <c r="B372" s="369"/>
      <c r="C372" s="369"/>
      <c r="D372" s="369"/>
      <c r="E372" s="369"/>
      <c r="F372" s="369"/>
      <c r="G372" s="369"/>
      <c r="H372" s="370"/>
      <c r="I372" s="371"/>
      <c r="J372" s="371"/>
      <c r="K372" s="370"/>
      <c r="L372" s="369"/>
      <c r="M372" s="369"/>
      <c r="N372" s="369"/>
      <c r="O372" s="369"/>
      <c r="P372" s="369"/>
      <c r="Q372" s="369"/>
      <c r="R372" s="369"/>
      <c r="S372" s="369"/>
      <c r="T372" s="369"/>
      <c r="U372" s="369"/>
      <c r="V372" s="369"/>
      <c r="W372" s="369"/>
      <c r="X372" s="369"/>
      <c r="Y372" s="369"/>
      <c r="Z372" s="369"/>
    </row>
    <row r="373" spans="1:26" ht="14.25" customHeight="1">
      <c r="A373" s="369"/>
      <c r="B373" s="369"/>
      <c r="C373" s="369"/>
      <c r="D373" s="369"/>
      <c r="E373" s="369"/>
      <c r="F373" s="369"/>
      <c r="G373" s="369"/>
      <c r="H373" s="370"/>
      <c r="I373" s="371"/>
      <c r="J373" s="371"/>
      <c r="K373" s="370"/>
      <c r="L373" s="369"/>
      <c r="M373" s="369"/>
      <c r="N373" s="369"/>
      <c r="O373" s="369"/>
      <c r="P373" s="369"/>
      <c r="Q373" s="369"/>
      <c r="R373" s="369"/>
      <c r="S373" s="369"/>
      <c r="T373" s="369"/>
      <c r="U373" s="369"/>
      <c r="V373" s="369"/>
      <c r="W373" s="369"/>
      <c r="X373" s="369"/>
      <c r="Y373" s="369"/>
      <c r="Z373" s="369"/>
    </row>
    <row r="374" spans="1:26" ht="14.25" customHeight="1">
      <c r="A374" s="369"/>
      <c r="B374" s="369"/>
      <c r="C374" s="369"/>
      <c r="D374" s="369"/>
      <c r="E374" s="369"/>
      <c r="F374" s="369"/>
      <c r="G374" s="369"/>
      <c r="H374" s="370"/>
      <c r="I374" s="371"/>
      <c r="J374" s="371"/>
      <c r="K374" s="370"/>
      <c r="L374" s="369"/>
      <c r="M374" s="369"/>
      <c r="N374" s="369"/>
      <c r="O374" s="369"/>
      <c r="P374" s="369"/>
      <c r="Q374" s="369"/>
      <c r="R374" s="369"/>
      <c r="S374" s="369"/>
      <c r="T374" s="369"/>
      <c r="U374" s="369"/>
      <c r="V374" s="369"/>
      <c r="W374" s="369"/>
      <c r="X374" s="369"/>
      <c r="Y374" s="369"/>
      <c r="Z374" s="369"/>
    </row>
    <row r="375" spans="1:26" ht="14.25" customHeight="1">
      <c r="A375" s="369"/>
      <c r="B375" s="369"/>
      <c r="C375" s="369"/>
      <c r="D375" s="369"/>
      <c r="E375" s="369"/>
      <c r="F375" s="369"/>
      <c r="G375" s="369"/>
      <c r="H375" s="370"/>
      <c r="I375" s="371"/>
      <c r="J375" s="371"/>
      <c r="K375" s="370"/>
      <c r="L375" s="369"/>
      <c r="M375" s="369"/>
      <c r="N375" s="369"/>
      <c r="O375" s="369"/>
      <c r="P375" s="369"/>
      <c r="Q375" s="369"/>
      <c r="R375" s="369"/>
      <c r="S375" s="369"/>
      <c r="T375" s="369"/>
      <c r="U375" s="369"/>
      <c r="V375" s="369"/>
      <c r="W375" s="369"/>
      <c r="X375" s="369"/>
      <c r="Y375" s="369"/>
      <c r="Z375" s="369"/>
    </row>
    <row r="376" spans="1:26" ht="14.25" customHeight="1">
      <c r="A376" s="369"/>
      <c r="B376" s="369"/>
      <c r="C376" s="369"/>
      <c r="D376" s="369"/>
      <c r="E376" s="369"/>
      <c r="F376" s="369"/>
      <c r="G376" s="369"/>
      <c r="H376" s="370"/>
      <c r="I376" s="371"/>
      <c r="J376" s="371"/>
      <c r="K376" s="370"/>
      <c r="L376" s="369"/>
      <c r="M376" s="369"/>
      <c r="N376" s="369"/>
      <c r="O376" s="369"/>
      <c r="P376" s="369"/>
      <c r="Q376" s="369"/>
      <c r="R376" s="369"/>
      <c r="S376" s="369"/>
      <c r="T376" s="369"/>
      <c r="U376" s="369"/>
      <c r="V376" s="369"/>
      <c r="W376" s="369"/>
      <c r="X376" s="369"/>
      <c r="Y376" s="369"/>
      <c r="Z376" s="369"/>
    </row>
    <row r="377" spans="1:26" ht="14.25" customHeight="1">
      <c r="A377" s="369"/>
      <c r="B377" s="369"/>
      <c r="C377" s="369"/>
      <c r="D377" s="369"/>
      <c r="E377" s="369"/>
      <c r="F377" s="369"/>
      <c r="G377" s="369"/>
      <c r="H377" s="370"/>
      <c r="I377" s="371"/>
      <c r="J377" s="371"/>
      <c r="K377" s="370"/>
      <c r="L377" s="369"/>
      <c r="M377" s="369"/>
      <c r="N377" s="369"/>
      <c r="O377" s="369"/>
      <c r="P377" s="369"/>
      <c r="Q377" s="369"/>
      <c r="R377" s="369"/>
      <c r="S377" s="369"/>
      <c r="T377" s="369"/>
      <c r="U377" s="369"/>
      <c r="V377" s="369"/>
      <c r="W377" s="369"/>
      <c r="X377" s="369"/>
      <c r="Y377" s="369"/>
      <c r="Z377" s="369"/>
    </row>
    <row r="378" spans="1:26" ht="14.25" customHeight="1">
      <c r="A378" s="369"/>
      <c r="B378" s="369"/>
      <c r="C378" s="369"/>
      <c r="D378" s="369"/>
      <c r="E378" s="369"/>
      <c r="F378" s="369"/>
      <c r="G378" s="369"/>
      <c r="H378" s="370"/>
      <c r="I378" s="371"/>
      <c r="J378" s="371"/>
      <c r="K378" s="370"/>
      <c r="L378" s="369"/>
      <c r="M378" s="369"/>
      <c r="N378" s="369"/>
      <c r="O378" s="369"/>
      <c r="P378" s="369"/>
      <c r="Q378" s="369"/>
      <c r="R378" s="369"/>
      <c r="S378" s="369"/>
      <c r="T378" s="369"/>
      <c r="U378" s="369"/>
      <c r="V378" s="369"/>
      <c r="W378" s="369"/>
      <c r="X378" s="369"/>
      <c r="Y378" s="369"/>
      <c r="Z378" s="369"/>
    </row>
    <row r="379" spans="1:26" ht="14.25" customHeight="1">
      <c r="A379" s="369"/>
      <c r="B379" s="369"/>
      <c r="C379" s="369"/>
      <c r="D379" s="369"/>
      <c r="E379" s="369"/>
      <c r="F379" s="369"/>
      <c r="G379" s="369"/>
      <c r="H379" s="370"/>
      <c r="I379" s="371"/>
      <c r="J379" s="371"/>
      <c r="K379" s="370"/>
      <c r="L379" s="369"/>
      <c r="M379" s="369"/>
      <c r="N379" s="369"/>
      <c r="O379" s="369"/>
      <c r="P379" s="369"/>
      <c r="Q379" s="369"/>
      <c r="R379" s="369"/>
      <c r="S379" s="369"/>
      <c r="T379" s="369"/>
      <c r="U379" s="369"/>
      <c r="V379" s="369"/>
      <c r="W379" s="369"/>
      <c r="X379" s="369"/>
      <c r="Y379" s="369"/>
      <c r="Z379" s="369"/>
    </row>
    <row r="380" spans="1:26" ht="14.25" customHeight="1">
      <c r="A380" s="369"/>
      <c r="B380" s="369"/>
      <c r="C380" s="369"/>
      <c r="D380" s="369"/>
      <c r="E380" s="369"/>
      <c r="F380" s="369"/>
      <c r="G380" s="369"/>
      <c r="H380" s="370"/>
      <c r="I380" s="371"/>
      <c r="J380" s="371"/>
      <c r="K380" s="370"/>
      <c r="L380" s="369"/>
      <c r="M380" s="369"/>
      <c r="N380" s="369"/>
      <c r="O380" s="369"/>
      <c r="P380" s="369"/>
      <c r="Q380" s="369"/>
      <c r="R380" s="369"/>
      <c r="S380" s="369"/>
      <c r="T380" s="369"/>
      <c r="U380" s="369"/>
      <c r="V380" s="369"/>
      <c r="W380" s="369"/>
      <c r="X380" s="369"/>
      <c r="Y380" s="369"/>
      <c r="Z380" s="369"/>
    </row>
    <row r="381" spans="1:26" ht="14.25" customHeight="1">
      <c r="A381" s="369"/>
      <c r="B381" s="369"/>
      <c r="C381" s="369"/>
      <c r="D381" s="369"/>
      <c r="E381" s="369"/>
      <c r="F381" s="369"/>
      <c r="G381" s="369"/>
      <c r="H381" s="370"/>
      <c r="I381" s="371"/>
      <c r="J381" s="371"/>
      <c r="K381" s="370"/>
      <c r="L381" s="369"/>
      <c r="M381" s="369"/>
      <c r="N381" s="369"/>
      <c r="O381" s="369"/>
      <c r="P381" s="369"/>
      <c r="Q381" s="369"/>
      <c r="R381" s="369"/>
      <c r="S381" s="369"/>
      <c r="T381" s="369"/>
      <c r="U381" s="369"/>
      <c r="V381" s="369"/>
      <c r="W381" s="369"/>
      <c r="X381" s="369"/>
      <c r="Y381" s="369"/>
      <c r="Z381" s="369"/>
    </row>
    <row r="382" spans="1:26" ht="14.25" customHeight="1">
      <c r="A382" s="369"/>
      <c r="B382" s="369"/>
      <c r="C382" s="369"/>
      <c r="D382" s="369"/>
      <c r="E382" s="369"/>
      <c r="F382" s="369"/>
      <c r="G382" s="369"/>
      <c r="H382" s="370"/>
      <c r="I382" s="371"/>
      <c r="J382" s="371"/>
      <c r="K382" s="370"/>
      <c r="L382" s="369"/>
      <c r="M382" s="369"/>
      <c r="N382" s="369"/>
      <c r="O382" s="369"/>
      <c r="P382" s="369"/>
      <c r="Q382" s="369"/>
      <c r="R382" s="369"/>
      <c r="S382" s="369"/>
      <c r="T382" s="369"/>
      <c r="U382" s="369"/>
      <c r="V382" s="369"/>
      <c r="W382" s="369"/>
      <c r="X382" s="369"/>
      <c r="Y382" s="369"/>
      <c r="Z382" s="369"/>
    </row>
    <row r="383" spans="1:26" ht="14.25" customHeight="1">
      <c r="A383" s="369"/>
      <c r="B383" s="369"/>
      <c r="C383" s="369"/>
      <c r="D383" s="369"/>
      <c r="E383" s="369"/>
      <c r="F383" s="369"/>
      <c r="G383" s="369"/>
      <c r="H383" s="370"/>
      <c r="I383" s="371"/>
      <c r="J383" s="371"/>
      <c r="K383" s="370"/>
      <c r="L383" s="369"/>
      <c r="M383" s="369"/>
      <c r="N383" s="369"/>
      <c r="O383" s="369"/>
      <c r="P383" s="369"/>
      <c r="Q383" s="369"/>
      <c r="R383" s="369"/>
      <c r="S383" s="369"/>
      <c r="T383" s="369"/>
      <c r="U383" s="369"/>
      <c r="V383" s="369"/>
      <c r="W383" s="369"/>
      <c r="X383" s="369"/>
      <c r="Y383" s="369"/>
      <c r="Z383" s="369"/>
    </row>
    <row r="384" spans="1:26" ht="14.25" customHeight="1">
      <c r="A384" s="369"/>
      <c r="B384" s="369"/>
      <c r="C384" s="369"/>
      <c r="D384" s="369"/>
      <c r="E384" s="369"/>
      <c r="F384" s="369"/>
      <c r="G384" s="369"/>
      <c r="H384" s="370"/>
      <c r="I384" s="371"/>
      <c r="J384" s="371"/>
      <c r="K384" s="370"/>
      <c r="L384" s="369"/>
      <c r="M384" s="369"/>
      <c r="N384" s="369"/>
      <c r="O384" s="369"/>
      <c r="P384" s="369"/>
      <c r="Q384" s="369"/>
      <c r="R384" s="369"/>
      <c r="S384" s="369"/>
      <c r="T384" s="369"/>
      <c r="U384" s="369"/>
      <c r="V384" s="369"/>
      <c r="W384" s="369"/>
      <c r="X384" s="369"/>
      <c r="Y384" s="369"/>
      <c r="Z384" s="369"/>
    </row>
    <row r="385" spans="1:26" ht="14.25" customHeight="1">
      <c r="A385" s="369"/>
      <c r="B385" s="369"/>
      <c r="C385" s="369"/>
      <c r="D385" s="369"/>
      <c r="E385" s="369"/>
      <c r="F385" s="369"/>
      <c r="G385" s="369"/>
      <c r="H385" s="370"/>
      <c r="I385" s="371"/>
      <c r="J385" s="371"/>
      <c r="K385" s="370"/>
      <c r="L385" s="369"/>
      <c r="M385" s="369"/>
      <c r="N385" s="369"/>
      <c r="O385" s="369"/>
      <c r="P385" s="369"/>
      <c r="Q385" s="369"/>
      <c r="R385" s="369"/>
      <c r="S385" s="369"/>
      <c r="T385" s="369"/>
      <c r="U385" s="369"/>
      <c r="V385" s="369"/>
      <c r="W385" s="369"/>
      <c r="X385" s="369"/>
      <c r="Y385" s="369"/>
      <c r="Z385" s="369"/>
    </row>
    <row r="386" spans="1:26" ht="14.25" customHeight="1">
      <c r="A386" s="369"/>
      <c r="B386" s="369"/>
      <c r="C386" s="369"/>
      <c r="D386" s="369"/>
      <c r="E386" s="369"/>
      <c r="F386" s="369"/>
      <c r="G386" s="369"/>
      <c r="H386" s="370"/>
      <c r="I386" s="371"/>
      <c r="J386" s="371"/>
      <c r="K386" s="370"/>
      <c r="L386" s="369"/>
      <c r="M386" s="369"/>
      <c r="N386" s="369"/>
      <c r="O386" s="369"/>
      <c r="P386" s="369"/>
      <c r="Q386" s="369"/>
      <c r="R386" s="369"/>
      <c r="S386" s="369"/>
      <c r="T386" s="369"/>
      <c r="U386" s="369"/>
      <c r="V386" s="369"/>
      <c r="W386" s="369"/>
      <c r="X386" s="369"/>
      <c r="Y386" s="369"/>
      <c r="Z386" s="369"/>
    </row>
    <row r="387" spans="1:26" ht="14.25" customHeight="1">
      <c r="A387" s="369"/>
      <c r="B387" s="369"/>
      <c r="C387" s="369"/>
      <c r="D387" s="369"/>
      <c r="E387" s="369"/>
      <c r="F387" s="369"/>
      <c r="G387" s="369"/>
      <c r="H387" s="370"/>
      <c r="I387" s="371"/>
      <c r="J387" s="371"/>
      <c r="K387" s="370"/>
      <c r="L387" s="369"/>
      <c r="M387" s="369"/>
      <c r="N387" s="369"/>
      <c r="O387" s="369"/>
      <c r="P387" s="369"/>
      <c r="Q387" s="369"/>
      <c r="R387" s="369"/>
      <c r="S387" s="369"/>
      <c r="T387" s="369"/>
      <c r="U387" s="369"/>
      <c r="V387" s="369"/>
      <c r="W387" s="369"/>
      <c r="X387" s="369"/>
      <c r="Y387" s="369"/>
      <c r="Z387" s="369"/>
    </row>
    <row r="388" spans="1:26" ht="14.25" customHeight="1">
      <c r="A388" s="369"/>
      <c r="B388" s="369"/>
      <c r="C388" s="369"/>
      <c r="D388" s="369"/>
      <c r="E388" s="369"/>
      <c r="F388" s="369"/>
      <c r="G388" s="369"/>
      <c r="H388" s="370"/>
      <c r="I388" s="371"/>
      <c r="J388" s="371"/>
      <c r="K388" s="370"/>
      <c r="L388" s="369"/>
      <c r="M388" s="369"/>
      <c r="N388" s="369"/>
      <c r="O388" s="369"/>
      <c r="P388" s="369"/>
      <c r="Q388" s="369"/>
      <c r="R388" s="369"/>
      <c r="S388" s="369"/>
      <c r="T388" s="369"/>
      <c r="U388" s="369"/>
      <c r="V388" s="369"/>
      <c r="W388" s="369"/>
      <c r="X388" s="369"/>
      <c r="Y388" s="369"/>
      <c r="Z388" s="369"/>
    </row>
    <row r="389" spans="1:26" ht="14.25" customHeight="1">
      <c r="A389" s="369"/>
      <c r="B389" s="369"/>
      <c r="C389" s="369"/>
      <c r="D389" s="369"/>
      <c r="E389" s="369"/>
      <c r="F389" s="369"/>
      <c r="G389" s="369"/>
      <c r="H389" s="370"/>
      <c r="I389" s="371"/>
      <c r="J389" s="371"/>
      <c r="K389" s="370"/>
      <c r="L389" s="369"/>
      <c r="M389" s="369"/>
      <c r="N389" s="369"/>
      <c r="O389" s="369"/>
      <c r="P389" s="369"/>
      <c r="Q389" s="369"/>
      <c r="R389" s="369"/>
      <c r="S389" s="369"/>
      <c r="T389" s="369"/>
      <c r="U389" s="369"/>
      <c r="V389" s="369"/>
      <c r="W389" s="369"/>
      <c r="X389" s="369"/>
      <c r="Y389" s="369"/>
      <c r="Z389" s="369"/>
    </row>
    <row r="390" spans="1:26" ht="14.25" customHeight="1">
      <c r="A390" s="369"/>
      <c r="B390" s="369"/>
      <c r="C390" s="369"/>
      <c r="D390" s="369"/>
      <c r="E390" s="369"/>
      <c r="F390" s="369"/>
      <c r="G390" s="369"/>
      <c r="H390" s="370"/>
      <c r="I390" s="371"/>
      <c r="J390" s="371"/>
      <c r="K390" s="370"/>
      <c r="L390" s="369"/>
      <c r="M390" s="369"/>
      <c r="N390" s="369"/>
      <c r="O390" s="369"/>
      <c r="P390" s="369"/>
      <c r="Q390" s="369"/>
      <c r="R390" s="369"/>
      <c r="S390" s="369"/>
      <c r="T390" s="369"/>
      <c r="U390" s="369"/>
      <c r="V390" s="369"/>
      <c r="W390" s="369"/>
      <c r="X390" s="369"/>
      <c r="Y390" s="369"/>
      <c r="Z390" s="369"/>
    </row>
    <row r="391" spans="1:26" ht="14.25" customHeight="1">
      <c r="A391" s="369"/>
      <c r="B391" s="369"/>
      <c r="C391" s="369"/>
      <c r="D391" s="369"/>
      <c r="E391" s="369"/>
      <c r="F391" s="369"/>
      <c r="G391" s="369"/>
      <c r="H391" s="370"/>
      <c r="I391" s="371"/>
      <c r="J391" s="371"/>
      <c r="K391" s="370"/>
      <c r="L391" s="369"/>
      <c r="M391" s="369"/>
      <c r="N391" s="369"/>
      <c r="O391" s="369"/>
      <c r="P391" s="369"/>
      <c r="Q391" s="369"/>
      <c r="R391" s="369"/>
      <c r="S391" s="369"/>
      <c r="T391" s="369"/>
      <c r="U391" s="369"/>
      <c r="V391" s="369"/>
      <c r="W391" s="369"/>
      <c r="X391" s="369"/>
      <c r="Y391" s="369"/>
      <c r="Z391" s="369"/>
    </row>
    <row r="392" spans="1:26" ht="14.25" customHeight="1">
      <c r="A392" s="369"/>
      <c r="B392" s="369"/>
      <c r="C392" s="369"/>
      <c r="D392" s="369"/>
      <c r="E392" s="369"/>
      <c r="F392" s="369"/>
      <c r="G392" s="369"/>
      <c r="H392" s="370"/>
      <c r="I392" s="371"/>
      <c r="J392" s="371"/>
      <c r="K392" s="370"/>
      <c r="L392" s="369"/>
      <c r="M392" s="369"/>
      <c r="N392" s="369"/>
      <c r="O392" s="369"/>
      <c r="P392" s="369"/>
      <c r="Q392" s="369"/>
      <c r="R392" s="369"/>
      <c r="S392" s="369"/>
      <c r="T392" s="369"/>
      <c r="U392" s="369"/>
      <c r="V392" s="369"/>
      <c r="W392" s="369"/>
      <c r="X392" s="369"/>
      <c r="Y392" s="369"/>
      <c r="Z392" s="369"/>
    </row>
    <row r="393" spans="1:26" ht="14.25" customHeight="1">
      <c r="A393" s="369"/>
      <c r="B393" s="369"/>
      <c r="C393" s="369"/>
      <c r="D393" s="369"/>
      <c r="E393" s="369"/>
      <c r="F393" s="369"/>
      <c r="G393" s="369"/>
      <c r="H393" s="370"/>
      <c r="I393" s="371"/>
      <c r="J393" s="371"/>
      <c r="K393" s="370"/>
      <c r="L393" s="369"/>
      <c r="M393" s="369"/>
      <c r="N393" s="369"/>
      <c r="O393" s="369"/>
      <c r="P393" s="369"/>
      <c r="Q393" s="369"/>
      <c r="R393" s="369"/>
      <c r="S393" s="369"/>
      <c r="T393" s="369"/>
      <c r="U393" s="369"/>
      <c r="V393" s="369"/>
      <c r="W393" s="369"/>
      <c r="X393" s="369"/>
      <c r="Y393" s="369"/>
      <c r="Z393" s="369"/>
    </row>
    <row r="394" spans="1:26" ht="14.25" customHeight="1">
      <c r="A394" s="369"/>
      <c r="B394" s="369"/>
      <c r="C394" s="369"/>
      <c r="D394" s="369"/>
      <c r="E394" s="369"/>
      <c r="F394" s="369"/>
      <c r="G394" s="369"/>
      <c r="H394" s="370"/>
      <c r="I394" s="371"/>
      <c r="J394" s="371"/>
      <c r="K394" s="370"/>
      <c r="L394" s="369"/>
      <c r="M394" s="369"/>
      <c r="N394" s="369"/>
      <c r="O394" s="369"/>
      <c r="P394" s="369"/>
      <c r="Q394" s="369"/>
      <c r="R394" s="369"/>
      <c r="S394" s="369"/>
      <c r="T394" s="369"/>
      <c r="U394" s="369"/>
      <c r="V394" s="369"/>
      <c r="W394" s="369"/>
      <c r="X394" s="369"/>
      <c r="Y394" s="369"/>
      <c r="Z394" s="369"/>
    </row>
    <row r="395" spans="1:26" ht="14.25" customHeight="1">
      <c r="A395" s="369"/>
      <c r="B395" s="369"/>
      <c r="C395" s="369"/>
      <c r="D395" s="369"/>
      <c r="E395" s="369"/>
      <c r="F395" s="369"/>
      <c r="G395" s="369"/>
      <c r="H395" s="370"/>
      <c r="I395" s="371"/>
      <c r="J395" s="371"/>
      <c r="K395" s="370"/>
      <c r="L395" s="369"/>
      <c r="M395" s="369"/>
      <c r="N395" s="369"/>
      <c r="O395" s="369"/>
      <c r="P395" s="369"/>
      <c r="Q395" s="369"/>
      <c r="R395" s="369"/>
      <c r="S395" s="369"/>
      <c r="T395" s="369"/>
      <c r="U395" s="369"/>
      <c r="V395" s="369"/>
      <c r="W395" s="369"/>
      <c r="X395" s="369"/>
      <c r="Y395" s="369"/>
      <c r="Z395" s="369"/>
    </row>
    <row r="396" spans="1:26" ht="14.25" customHeight="1">
      <c r="A396" s="369"/>
      <c r="B396" s="369"/>
      <c r="C396" s="369"/>
      <c r="D396" s="369"/>
      <c r="E396" s="369"/>
      <c r="F396" s="369"/>
      <c r="G396" s="369"/>
      <c r="H396" s="370"/>
      <c r="I396" s="371"/>
      <c r="J396" s="371"/>
      <c r="K396" s="370"/>
      <c r="L396" s="369"/>
      <c r="M396" s="369"/>
      <c r="N396" s="369"/>
      <c r="O396" s="369"/>
      <c r="P396" s="369"/>
      <c r="Q396" s="369"/>
      <c r="R396" s="369"/>
      <c r="S396" s="369"/>
      <c r="T396" s="369"/>
      <c r="U396" s="369"/>
      <c r="V396" s="369"/>
      <c r="W396" s="369"/>
      <c r="X396" s="369"/>
      <c r="Y396" s="369"/>
      <c r="Z396" s="369"/>
    </row>
    <row r="397" spans="1:26" ht="14.25" customHeight="1">
      <c r="A397" s="369"/>
      <c r="B397" s="369"/>
      <c r="C397" s="369"/>
      <c r="D397" s="369"/>
      <c r="E397" s="369"/>
      <c r="F397" s="369"/>
      <c r="G397" s="369"/>
      <c r="H397" s="370"/>
      <c r="I397" s="371"/>
      <c r="J397" s="371"/>
      <c r="K397" s="370"/>
      <c r="L397" s="369"/>
      <c r="M397" s="369"/>
      <c r="N397" s="369"/>
      <c r="O397" s="369"/>
      <c r="P397" s="369"/>
      <c r="Q397" s="369"/>
      <c r="R397" s="369"/>
      <c r="S397" s="369"/>
      <c r="T397" s="369"/>
      <c r="U397" s="369"/>
      <c r="V397" s="369"/>
      <c r="W397" s="369"/>
      <c r="X397" s="369"/>
      <c r="Y397" s="369"/>
      <c r="Z397" s="369"/>
    </row>
    <row r="398" spans="1:26" ht="14.25" customHeight="1">
      <c r="A398" s="369"/>
      <c r="B398" s="369"/>
      <c r="C398" s="369"/>
      <c r="D398" s="369"/>
      <c r="E398" s="369"/>
      <c r="F398" s="369"/>
      <c r="G398" s="369"/>
      <c r="H398" s="370"/>
      <c r="I398" s="371"/>
      <c r="J398" s="371"/>
      <c r="K398" s="370"/>
      <c r="L398" s="369"/>
      <c r="M398" s="369"/>
      <c r="N398" s="369"/>
      <c r="O398" s="369"/>
      <c r="P398" s="369"/>
      <c r="Q398" s="369"/>
      <c r="R398" s="369"/>
      <c r="S398" s="369"/>
      <c r="T398" s="369"/>
      <c r="U398" s="369"/>
      <c r="V398" s="369"/>
      <c r="W398" s="369"/>
      <c r="X398" s="369"/>
      <c r="Y398" s="369"/>
      <c r="Z398" s="369"/>
    </row>
    <row r="399" spans="1:26" ht="14.25" customHeight="1">
      <c r="A399" s="369"/>
      <c r="B399" s="369"/>
      <c r="C399" s="369"/>
      <c r="D399" s="369"/>
      <c r="E399" s="369"/>
      <c r="F399" s="369"/>
      <c r="G399" s="369"/>
      <c r="H399" s="370"/>
      <c r="I399" s="371"/>
      <c r="J399" s="371"/>
      <c r="K399" s="370"/>
      <c r="L399" s="369"/>
      <c r="M399" s="369"/>
      <c r="N399" s="369"/>
      <c r="O399" s="369"/>
      <c r="P399" s="369"/>
      <c r="Q399" s="369"/>
      <c r="R399" s="369"/>
      <c r="S399" s="369"/>
      <c r="T399" s="369"/>
      <c r="U399" s="369"/>
      <c r="V399" s="369"/>
      <c r="W399" s="369"/>
      <c r="X399" s="369"/>
      <c r="Y399" s="369"/>
      <c r="Z399" s="369"/>
    </row>
    <row r="400" spans="1:26" ht="14.25" customHeight="1">
      <c r="A400" s="369"/>
      <c r="B400" s="369"/>
      <c r="C400" s="369"/>
      <c r="D400" s="369"/>
      <c r="E400" s="369"/>
      <c r="F400" s="369"/>
      <c r="G400" s="369"/>
      <c r="H400" s="370"/>
      <c r="I400" s="371"/>
      <c r="J400" s="371"/>
      <c r="K400" s="370"/>
      <c r="L400" s="369"/>
      <c r="M400" s="369"/>
      <c r="N400" s="369"/>
      <c r="O400" s="369"/>
      <c r="P400" s="369"/>
      <c r="Q400" s="369"/>
      <c r="R400" s="369"/>
      <c r="S400" s="369"/>
      <c r="T400" s="369"/>
      <c r="U400" s="369"/>
      <c r="V400" s="369"/>
      <c r="W400" s="369"/>
      <c r="X400" s="369"/>
      <c r="Y400" s="369"/>
      <c r="Z400" s="369"/>
    </row>
    <row r="401" spans="1:26" ht="14.25" customHeight="1">
      <c r="A401" s="369"/>
      <c r="B401" s="369"/>
      <c r="C401" s="369"/>
      <c r="D401" s="369"/>
      <c r="E401" s="369"/>
      <c r="F401" s="369"/>
      <c r="G401" s="369"/>
      <c r="H401" s="370"/>
      <c r="I401" s="371"/>
      <c r="J401" s="371"/>
      <c r="K401" s="370"/>
      <c r="L401" s="369"/>
      <c r="M401" s="369"/>
      <c r="N401" s="369"/>
      <c r="O401" s="369"/>
      <c r="P401" s="369"/>
      <c r="Q401" s="369"/>
      <c r="R401" s="369"/>
      <c r="S401" s="369"/>
      <c r="T401" s="369"/>
      <c r="U401" s="369"/>
      <c r="V401" s="369"/>
      <c r="W401" s="369"/>
      <c r="X401" s="369"/>
      <c r="Y401" s="369"/>
      <c r="Z401" s="369"/>
    </row>
    <row r="402" spans="1:26" ht="14.25" customHeight="1">
      <c r="A402" s="369"/>
      <c r="B402" s="369"/>
      <c r="C402" s="369"/>
      <c r="D402" s="369"/>
      <c r="E402" s="369"/>
      <c r="F402" s="369"/>
      <c r="G402" s="369"/>
      <c r="H402" s="370"/>
      <c r="I402" s="371"/>
      <c r="J402" s="371"/>
      <c r="K402" s="370"/>
      <c r="L402" s="369"/>
      <c r="M402" s="369"/>
      <c r="N402" s="369"/>
      <c r="O402" s="369"/>
      <c r="P402" s="369"/>
      <c r="Q402" s="369"/>
      <c r="R402" s="369"/>
      <c r="S402" s="369"/>
      <c r="T402" s="369"/>
      <c r="U402" s="369"/>
      <c r="V402" s="369"/>
      <c r="W402" s="369"/>
      <c r="X402" s="369"/>
      <c r="Y402" s="369"/>
      <c r="Z402" s="369"/>
    </row>
    <row r="403" spans="1:26" ht="14.25" customHeight="1">
      <c r="A403" s="369"/>
      <c r="B403" s="369"/>
      <c r="C403" s="369"/>
      <c r="D403" s="369"/>
      <c r="E403" s="369"/>
      <c r="F403" s="369"/>
      <c r="G403" s="369"/>
      <c r="H403" s="370"/>
      <c r="I403" s="371"/>
      <c r="J403" s="371"/>
      <c r="K403" s="370"/>
      <c r="L403" s="369"/>
      <c r="M403" s="369"/>
      <c r="N403" s="369"/>
      <c r="O403" s="369"/>
      <c r="P403" s="369"/>
      <c r="Q403" s="369"/>
      <c r="R403" s="369"/>
      <c r="S403" s="369"/>
      <c r="T403" s="369"/>
      <c r="U403" s="369"/>
      <c r="V403" s="369"/>
      <c r="W403" s="369"/>
      <c r="X403" s="369"/>
      <c r="Y403" s="369"/>
      <c r="Z403" s="369"/>
    </row>
    <row r="404" spans="1:26" ht="14.25" customHeight="1">
      <c r="A404" s="369"/>
      <c r="B404" s="369"/>
      <c r="C404" s="369"/>
      <c r="D404" s="369"/>
      <c r="E404" s="369"/>
      <c r="F404" s="369"/>
      <c r="G404" s="369"/>
      <c r="H404" s="370"/>
      <c r="I404" s="371"/>
      <c r="J404" s="371"/>
      <c r="K404" s="370"/>
      <c r="L404" s="369"/>
      <c r="M404" s="369"/>
      <c r="N404" s="369"/>
      <c r="O404" s="369"/>
      <c r="P404" s="369"/>
      <c r="Q404" s="369"/>
      <c r="R404" s="369"/>
      <c r="S404" s="369"/>
      <c r="T404" s="369"/>
      <c r="U404" s="369"/>
      <c r="V404" s="369"/>
      <c r="W404" s="369"/>
      <c r="X404" s="369"/>
      <c r="Y404" s="369"/>
      <c r="Z404" s="369"/>
    </row>
    <row r="405" spans="1:26" ht="14.25" customHeight="1">
      <c r="A405" s="369"/>
      <c r="B405" s="369"/>
      <c r="C405" s="369"/>
      <c r="D405" s="369"/>
      <c r="E405" s="369"/>
      <c r="F405" s="369"/>
      <c r="G405" s="369"/>
      <c r="H405" s="370"/>
      <c r="I405" s="371"/>
      <c r="J405" s="371"/>
      <c r="K405" s="370"/>
      <c r="L405" s="369"/>
      <c r="M405" s="369"/>
      <c r="N405" s="369"/>
      <c r="O405" s="369"/>
      <c r="P405" s="369"/>
      <c r="Q405" s="369"/>
      <c r="R405" s="369"/>
      <c r="S405" s="369"/>
      <c r="T405" s="369"/>
      <c r="U405" s="369"/>
      <c r="V405" s="369"/>
      <c r="W405" s="369"/>
      <c r="X405" s="369"/>
      <c r="Y405" s="369"/>
      <c r="Z405" s="369"/>
    </row>
    <row r="406" spans="1:26" ht="14.25" customHeight="1">
      <c r="A406" s="369"/>
      <c r="B406" s="369"/>
      <c r="C406" s="369"/>
      <c r="D406" s="369"/>
      <c r="E406" s="369"/>
      <c r="F406" s="369"/>
      <c r="G406" s="369"/>
      <c r="H406" s="370"/>
      <c r="I406" s="371"/>
      <c r="J406" s="371"/>
      <c r="K406" s="370"/>
      <c r="L406" s="369"/>
      <c r="M406" s="369"/>
      <c r="N406" s="369"/>
      <c r="O406" s="369"/>
      <c r="P406" s="369"/>
      <c r="Q406" s="369"/>
      <c r="R406" s="369"/>
      <c r="S406" s="369"/>
      <c r="T406" s="369"/>
      <c r="U406" s="369"/>
      <c r="V406" s="369"/>
      <c r="W406" s="369"/>
      <c r="X406" s="369"/>
      <c r="Y406" s="369"/>
      <c r="Z406" s="369"/>
    </row>
    <row r="407" spans="1:26" ht="14.25" customHeight="1">
      <c r="A407" s="369"/>
      <c r="B407" s="369"/>
      <c r="C407" s="369"/>
      <c r="D407" s="369"/>
      <c r="E407" s="369"/>
      <c r="F407" s="369"/>
      <c r="G407" s="369"/>
      <c r="H407" s="370"/>
      <c r="I407" s="371"/>
      <c r="J407" s="371"/>
      <c r="K407" s="370"/>
      <c r="L407" s="369"/>
      <c r="M407" s="369"/>
      <c r="N407" s="369"/>
      <c r="O407" s="369"/>
      <c r="P407" s="369"/>
      <c r="Q407" s="369"/>
      <c r="R407" s="369"/>
      <c r="S407" s="369"/>
      <c r="T407" s="369"/>
      <c r="U407" s="369"/>
      <c r="V407" s="369"/>
      <c r="W407" s="369"/>
      <c r="X407" s="369"/>
      <c r="Y407" s="369"/>
      <c r="Z407" s="369"/>
    </row>
    <row r="408" spans="1:26" ht="14.25" customHeight="1">
      <c r="A408" s="369"/>
      <c r="B408" s="369"/>
      <c r="C408" s="369"/>
      <c r="D408" s="369"/>
      <c r="E408" s="369"/>
      <c r="F408" s="369"/>
      <c r="G408" s="369"/>
      <c r="H408" s="370"/>
      <c r="I408" s="371"/>
      <c r="J408" s="371"/>
      <c r="K408" s="370"/>
      <c r="L408" s="369"/>
      <c r="M408" s="369"/>
      <c r="N408" s="369"/>
      <c r="O408" s="369"/>
      <c r="P408" s="369"/>
      <c r="Q408" s="369"/>
      <c r="R408" s="369"/>
      <c r="S408" s="369"/>
      <c r="T408" s="369"/>
      <c r="U408" s="369"/>
      <c r="V408" s="369"/>
      <c r="W408" s="369"/>
      <c r="X408" s="369"/>
      <c r="Y408" s="369"/>
      <c r="Z408" s="369"/>
    </row>
    <row r="409" spans="1:26" ht="14.25" customHeight="1">
      <c r="A409" s="369"/>
      <c r="B409" s="369"/>
      <c r="C409" s="369"/>
      <c r="D409" s="369"/>
      <c r="E409" s="369"/>
      <c r="F409" s="369"/>
      <c r="G409" s="369"/>
      <c r="H409" s="370"/>
      <c r="I409" s="371"/>
      <c r="J409" s="371"/>
      <c r="K409" s="370"/>
      <c r="L409" s="369"/>
      <c r="M409" s="369"/>
      <c r="N409" s="369"/>
      <c r="O409" s="369"/>
      <c r="P409" s="369"/>
      <c r="Q409" s="369"/>
      <c r="R409" s="369"/>
      <c r="S409" s="369"/>
      <c r="T409" s="369"/>
      <c r="U409" s="369"/>
      <c r="V409" s="369"/>
      <c r="W409" s="369"/>
      <c r="X409" s="369"/>
      <c r="Y409" s="369"/>
      <c r="Z409" s="369"/>
    </row>
    <row r="410" spans="1:26" ht="14.25" customHeight="1">
      <c r="A410" s="369"/>
      <c r="B410" s="369"/>
      <c r="C410" s="369"/>
      <c r="D410" s="369"/>
      <c r="E410" s="369"/>
      <c r="F410" s="369"/>
      <c r="G410" s="369"/>
      <c r="H410" s="370"/>
      <c r="I410" s="371"/>
      <c r="J410" s="371"/>
      <c r="K410" s="370"/>
      <c r="L410" s="369"/>
      <c r="M410" s="369"/>
      <c r="N410" s="369"/>
      <c r="O410" s="369"/>
      <c r="P410" s="369"/>
      <c r="Q410" s="369"/>
      <c r="R410" s="369"/>
      <c r="S410" s="369"/>
      <c r="T410" s="369"/>
      <c r="U410" s="369"/>
      <c r="V410" s="369"/>
      <c r="W410" s="369"/>
      <c r="X410" s="369"/>
      <c r="Y410" s="369"/>
      <c r="Z410" s="369"/>
    </row>
    <row r="411" spans="1:26" ht="14.25" customHeight="1">
      <c r="A411" s="369"/>
      <c r="B411" s="369"/>
      <c r="C411" s="369"/>
      <c r="D411" s="369"/>
      <c r="E411" s="369"/>
      <c r="F411" s="369"/>
      <c r="G411" s="369"/>
      <c r="H411" s="370"/>
      <c r="I411" s="371"/>
      <c r="J411" s="371"/>
      <c r="K411" s="370"/>
      <c r="L411" s="369"/>
      <c r="M411" s="369"/>
      <c r="N411" s="369"/>
      <c r="O411" s="369"/>
      <c r="P411" s="369"/>
      <c r="Q411" s="369"/>
      <c r="R411" s="369"/>
      <c r="S411" s="369"/>
      <c r="T411" s="369"/>
      <c r="U411" s="369"/>
      <c r="V411" s="369"/>
      <c r="W411" s="369"/>
      <c r="X411" s="369"/>
      <c r="Y411" s="369"/>
      <c r="Z411" s="369"/>
    </row>
    <row r="412" spans="1:26" ht="14.25" customHeight="1">
      <c r="A412" s="369"/>
      <c r="B412" s="369"/>
      <c r="C412" s="369"/>
      <c r="D412" s="369"/>
      <c r="E412" s="369"/>
      <c r="F412" s="369"/>
      <c r="G412" s="369"/>
      <c r="H412" s="370"/>
      <c r="I412" s="371"/>
      <c r="J412" s="371"/>
      <c r="K412" s="370"/>
      <c r="L412" s="369"/>
      <c r="M412" s="369"/>
      <c r="N412" s="369"/>
      <c r="O412" s="369"/>
      <c r="P412" s="369"/>
      <c r="Q412" s="369"/>
      <c r="R412" s="369"/>
      <c r="S412" s="369"/>
      <c r="T412" s="369"/>
      <c r="U412" s="369"/>
      <c r="V412" s="369"/>
      <c r="W412" s="369"/>
      <c r="X412" s="369"/>
      <c r="Y412" s="369"/>
      <c r="Z412" s="369"/>
    </row>
    <row r="413" spans="1:26" ht="14.25" customHeight="1">
      <c r="A413" s="369"/>
      <c r="B413" s="369"/>
      <c r="C413" s="369"/>
      <c r="D413" s="369"/>
      <c r="E413" s="369"/>
      <c r="F413" s="369"/>
      <c r="G413" s="369"/>
      <c r="H413" s="370"/>
      <c r="I413" s="371"/>
      <c r="J413" s="371"/>
      <c r="K413" s="370"/>
      <c r="L413" s="369"/>
      <c r="M413" s="369"/>
      <c r="N413" s="369"/>
      <c r="O413" s="369"/>
      <c r="P413" s="369"/>
      <c r="Q413" s="369"/>
      <c r="R413" s="369"/>
      <c r="S413" s="369"/>
      <c r="T413" s="369"/>
      <c r="U413" s="369"/>
      <c r="V413" s="369"/>
      <c r="W413" s="369"/>
      <c r="X413" s="369"/>
      <c r="Y413" s="369"/>
      <c r="Z413" s="369"/>
    </row>
    <row r="414" spans="1:26" ht="14.25" customHeight="1">
      <c r="A414" s="369"/>
      <c r="B414" s="369"/>
      <c r="C414" s="369"/>
      <c r="D414" s="369"/>
      <c r="E414" s="369"/>
      <c r="F414" s="369"/>
      <c r="G414" s="369"/>
      <c r="H414" s="370"/>
      <c r="I414" s="371"/>
      <c r="J414" s="371"/>
      <c r="K414" s="370"/>
      <c r="L414" s="369"/>
      <c r="M414" s="369"/>
      <c r="N414" s="369"/>
      <c r="O414" s="369"/>
      <c r="P414" s="369"/>
      <c r="Q414" s="369"/>
      <c r="R414" s="369"/>
      <c r="S414" s="369"/>
      <c r="T414" s="369"/>
      <c r="U414" s="369"/>
      <c r="V414" s="369"/>
      <c r="W414" s="369"/>
      <c r="X414" s="369"/>
      <c r="Y414" s="369"/>
      <c r="Z414" s="369"/>
    </row>
    <row r="415" spans="1:26" ht="14.25" customHeight="1">
      <c r="A415" s="369"/>
      <c r="B415" s="369"/>
      <c r="C415" s="369"/>
      <c r="D415" s="369"/>
      <c r="E415" s="369"/>
      <c r="F415" s="369"/>
      <c r="G415" s="369"/>
      <c r="H415" s="370"/>
      <c r="I415" s="371"/>
      <c r="J415" s="371"/>
      <c r="K415" s="370"/>
      <c r="L415" s="369"/>
      <c r="M415" s="369"/>
      <c r="N415" s="369"/>
      <c r="O415" s="369"/>
      <c r="P415" s="369"/>
      <c r="Q415" s="369"/>
      <c r="R415" s="369"/>
      <c r="S415" s="369"/>
      <c r="T415" s="369"/>
      <c r="U415" s="369"/>
      <c r="V415" s="369"/>
      <c r="W415" s="369"/>
      <c r="X415" s="369"/>
      <c r="Y415" s="369"/>
      <c r="Z415" s="369"/>
    </row>
    <row r="416" spans="1:26" ht="14.25" customHeight="1">
      <c r="A416" s="369"/>
      <c r="B416" s="369"/>
      <c r="C416" s="369"/>
      <c r="D416" s="369"/>
      <c r="E416" s="369"/>
      <c r="F416" s="369"/>
      <c r="G416" s="369"/>
      <c r="H416" s="370"/>
      <c r="I416" s="371"/>
      <c r="J416" s="371"/>
      <c r="K416" s="370"/>
      <c r="L416" s="369"/>
      <c r="M416" s="369"/>
      <c r="N416" s="369"/>
      <c r="O416" s="369"/>
      <c r="P416" s="369"/>
      <c r="Q416" s="369"/>
      <c r="R416" s="369"/>
      <c r="S416" s="369"/>
      <c r="T416" s="369"/>
      <c r="U416" s="369"/>
      <c r="V416" s="369"/>
      <c r="W416" s="369"/>
      <c r="X416" s="369"/>
      <c r="Y416" s="369"/>
      <c r="Z416" s="369"/>
    </row>
    <row r="417" spans="1:26" ht="14.25" customHeight="1">
      <c r="A417" s="369"/>
      <c r="B417" s="369"/>
      <c r="C417" s="369"/>
      <c r="D417" s="369"/>
      <c r="E417" s="369"/>
      <c r="F417" s="369"/>
      <c r="G417" s="369"/>
      <c r="H417" s="370"/>
      <c r="I417" s="371"/>
      <c r="J417" s="371"/>
      <c r="K417" s="370"/>
      <c r="L417" s="369"/>
      <c r="M417" s="369"/>
      <c r="N417" s="369"/>
      <c r="O417" s="369"/>
      <c r="P417" s="369"/>
      <c r="Q417" s="369"/>
      <c r="R417" s="369"/>
      <c r="S417" s="369"/>
      <c r="T417" s="369"/>
      <c r="U417" s="369"/>
      <c r="V417" s="369"/>
      <c r="W417" s="369"/>
      <c r="X417" s="369"/>
      <c r="Y417" s="369"/>
      <c r="Z417" s="369"/>
    </row>
    <row r="418" spans="1:26" ht="14.25" customHeight="1">
      <c r="A418" s="369"/>
      <c r="B418" s="369"/>
      <c r="C418" s="369"/>
      <c r="D418" s="369"/>
      <c r="E418" s="369"/>
      <c r="F418" s="369"/>
      <c r="G418" s="369"/>
      <c r="H418" s="370"/>
      <c r="I418" s="371"/>
      <c r="J418" s="371"/>
      <c r="K418" s="370"/>
      <c r="L418" s="369"/>
      <c r="M418" s="369"/>
      <c r="N418" s="369"/>
      <c r="O418" s="369"/>
      <c r="P418" s="369"/>
      <c r="Q418" s="369"/>
      <c r="R418" s="369"/>
      <c r="S418" s="369"/>
      <c r="T418" s="369"/>
      <c r="U418" s="369"/>
      <c r="V418" s="369"/>
      <c r="W418" s="369"/>
      <c r="X418" s="369"/>
      <c r="Y418" s="369"/>
      <c r="Z418" s="369"/>
    </row>
    <row r="419" spans="1:26" ht="14.25" customHeight="1">
      <c r="A419" s="369"/>
      <c r="B419" s="369"/>
      <c r="C419" s="369"/>
      <c r="D419" s="369"/>
      <c r="E419" s="369"/>
      <c r="F419" s="369"/>
      <c r="G419" s="369"/>
      <c r="H419" s="370"/>
      <c r="I419" s="371"/>
      <c r="J419" s="371"/>
      <c r="K419" s="370"/>
      <c r="L419" s="369"/>
      <c r="M419" s="369"/>
      <c r="N419" s="369"/>
      <c r="O419" s="369"/>
      <c r="P419" s="369"/>
      <c r="Q419" s="369"/>
      <c r="R419" s="369"/>
      <c r="S419" s="369"/>
      <c r="T419" s="369"/>
      <c r="U419" s="369"/>
      <c r="V419" s="369"/>
      <c r="W419" s="369"/>
      <c r="X419" s="369"/>
      <c r="Y419" s="369"/>
      <c r="Z419" s="369"/>
    </row>
    <row r="420" spans="1:26" ht="14.25" customHeight="1">
      <c r="A420" s="369"/>
      <c r="B420" s="369"/>
      <c r="C420" s="369"/>
      <c r="D420" s="369"/>
      <c r="E420" s="369"/>
      <c r="F420" s="369"/>
      <c r="G420" s="369"/>
      <c r="H420" s="370"/>
      <c r="I420" s="371"/>
      <c r="J420" s="371"/>
      <c r="K420" s="370"/>
      <c r="L420" s="369"/>
      <c r="M420" s="369"/>
      <c r="N420" s="369"/>
      <c r="O420" s="369"/>
      <c r="P420" s="369"/>
      <c r="Q420" s="369"/>
      <c r="R420" s="369"/>
      <c r="S420" s="369"/>
      <c r="T420" s="369"/>
      <c r="U420" s="369"/>
      <c r="V420" s="369"/>
      <c r="W420" s="369"/>
      <c r="X420" s="369"/>
      <c r="Y420" s="369"/>
      <c r="Z420" s="369"/>
    </row>
    <row r="421" spans="1:26" ht="14.25" customHeight="1">
      <c r="A421" s="369"/>
      <c r="B421" s="369"/>
      <c r="C421" s="369"/>
      <c r="D421" s="369"/>
      <c r="E421" s="369"/>
      <c r="F421" s="369"/>
      <c r="G421" s="369"/>
      <c r="H421" s="370"/>
      <c r="I421" s="371"/>
      <c r="J421" s="371"/>
      <c r="K421" s="370"/>
      <c r="L421" s="369"/>
      <c r="M421" s="369"/>
      <c r="N421" s="369"/>
      <c r="O421" s="369"/>
      <c r="P421" s="369"/>
      <c r="Q421" s="369"/>
      <c r="R421" s="369"/>
      <c r="S421" s="369"/>
      <c r="T421" s="369"/>
      <c r="U421" s="369"/>
      <c r="V421" s="369"/>
      <c r="W421" s="369"/>
      <c r="X421" s="369"/>
      <c r="Y421" s="369"/>
      <c r="Z421" s="369"/>
    </row>
    <row r="422" spans="1:26" ht="14.25" customHeight="1">
      <c r="A422" s="369"/>
      <c r="B422" s="369"/>
      <c r="C422" s="369"/>
      <c r="D422" s="369"/>
      <c r="E422" s="369"/>
      <c r="F422" s="369"/>
      <c r="G422" s="369"/>
      <c r="H422" s="370"/>
      <c r="I422" s="371"/>
      <c r="J422" s="371"/>
      <c r="K422" s="370"/>
      <c r="L422" s="369"/>
      <c r="M422" s="369"/>
      <c r="N422" s="369"/>
      <c r="O422" s="369"/>
      <c r="P422" s="369"/>
      <c r="Q422" s="369"/>
      <c r="R422" s="369"/>
      <c r="S422" s="369"/>
      <c r="T422" s="369"/>
      <c r="U422" s="369"/>
      <c r="V422" s="369"/>
      <c r="W422" s="369"/>
      <c r="X422" s="369"/>
      <c r="Y422" s="369"/>
      <c r="Z422" s="369"/>
    </row>
    <row r="423" spans="1:26" ht="14.25" customHeight="1">
      <c r="A423" s="369"/>
      <c r="B423" s="369"/>
      <c r="C423" s="369"/>
      <c r="D423" s="369"/>
      <c r="E423" s="369"/>
      <c r="F423" s="369"/>
      <c r="G423" s="369"/>
      <c r="H423" s="370"/>
      <c r="I423" s="371"/>
      <c r="J423" s="371"/>
      <c r="K423" s="370"/>
      <c r="L423" s="369"/>
      <c r="M423" s="369"/>
      <c r="N423" s="369"/>
      <c r="O423" s="369"/>
      <c r="P423" s="369"/>
      <c r="Q423" s="369"/>
      <c r="R423" s="369"/>
      <c r="S423" s="369"/>
      <c r="T423" s="369"/>
      <c r="U423" s="369"/>
      <c r="V423" s="369"/>
      <c r="W423" s="369"/>
      <c r="X423" s="369"/>
      <c r="Y423" s="369"/>
      <c r="Z423" s="369"/>
    </row>
    <row r="424" spans="1:26" ht="14.25" customHeight="1">
      <c r="A424" s="369"/>
      <c r="B424" s="369"/>
      <c r="C424" s="369"/>
      <c r="D424" s="369"/>
      <c r="E424" s="369"/>
      <c r="F424" s="369"/>
      <c r="G424" s="369"/>
      <c r="H424" s="370"/>
      <c r="I424" s="371"/>
      <c r="J424" s="371"/>
      <c r="K424" s="370"/>
      <c r="L424" s="369"/>
      <c r="M424" s="369"/>
      <c r="N424" s="369"/>
      <c r="O424" s="369"/>
      <c r="P424" s="369"/>
      <c r="Q424" s="369"/>
      <c r="R424" s="369"/>
      <c r="S424" s="369"/>
      <c r="T424" s="369"/>
      <c r="U424" s="369"/>
      <c r="V424" s="369"/>
      <c r="W424" s="369"/>
      <c r="X424" s="369"/>
      <c r="Y424" s="369"/>
      <c r="Z424" s="369"/>
    </row>
    <row r="425" spans="1:26" ht="14.25" customHeight="1">
      <c r="A425" s="369"/>
      <c r="B425" s="369"/>
      <c r="C425" s="369"/>
      <c r="D425" s="369"/>
      <c r="E425" s="369"/>
      <c r="F425" s="369"/>
      <c r="G425" s="369"/>
      <c r="H425" s="370"/>
      <c r="I425" s="371"/>
      <c r="J425" s="371"/>
      <c r="K425" s="370"/>
      <c r="L425" s="369"/>
      <c r="M425" s="369"/>
      <c r="N425" s="369"/>
      <c r="O425" s="369"/>
      <c r="P425" s="369"/>
      <c r="Q425" s="369"/>
      <c r="R425" s="369"/>
      <c r="S425" s="369"/>
      <c r="T425" s="369"/>
      <c r="U425" s="369"/>
      <c r="V425" s="369"/>
      <c r="W425" s="369"/>
      <c r="X425" s="369"/>
      <c r="Y425" s="369"/>
      <c r="Z425" s="369"/>
    </row>
    <row r="426" spans="1:26" ht="14.25" customHeight="1">
      <c r="A426" s="369"/>
      <c r="B426" s="369"/>
      <c r="C426" s="369"/>
      <c r="D426" s="369"/>
      <c r="E426" s="369"/>
      <c r="F426" s="369"/>
      <c r="G426" s="369"/>
      <c r="H426" s="370"/>
      <c r="I426" s="371"/>
      <c r="J426" s="371"/>
      <c r="K426" s="370"/>
      <c r="L426" s="369"/>
      <c r="M426" s="369"/>
      <c r="N426" s="369"/>
      <c r="O426" s="369"/>
      <c r="P426" s="369"/>
      <c r="Q426" s="369"/>
      <c r="R426" s="369"/>
      <c r="S426" s="369"/>
      <c r="T426" s="369"/>
      <c r="U426" s="369"/>
      <c r="V426" s="369"/>
      <c r="W426" s="369"/>
      <c r="X426" s="369"/>
      <c r="Y426" s="369"/>
      <c r="Z426" s="369"/>
    </row>
    <row r="427" spans="1:26" ht="14.25" customHeight="1">
      <c r="A427" s="369"/>
      <c r="B427" s="369"/>
      <c r="C427" s="369"/>
      <c r="D427" s="369"/>
      <c r="E427" s="369"/>
      <c r="F427" s="369"/>
      <c r="G427" s="369"/>
      <c r="H427" s="370"/>
      <c r="I427" s="371"/>
      <c r="J427" s="371"/>
      <c r="K427" s="370"/>
      <c r="L427" s="369"/>
      <c r="M427" s="369"/>
      <c r="N427" s="369"/>
      <c r="O427" s="369"/>
      <c r="P427" s="369"/>
      <c r="Q427" s="369"/>
      <c r="R427" s="369"/>
      <c r="S427" s="369"/>
      <c r="T427" s="369"/>
      <c r="U427" s="369"/>
      <c r="V427" s="369"/>
      <c r="W427" s="369"/>
      <c r="X427" s="369"/>
      <c r="Y427" s="369"/>
      <c r="Z427" s="369"/>
    </row>
    <row r="428" spans="1:26" ht="14.25" customHeight="1">
      <c r="A428" s="369"/>
      <c r="B428" s="369"/>
      <c r="C428" s="369"/>
      <c r="D428" s="369"/>
      <c r="E428" s="369"/>
      <c r="F428" s="369"/>
      <c r="G428" s="369"/>
      <c r="H428" s="370"/>
      <c r="I428" s="371"/>
      <c r="J428" s="371"/>
      <c r="K428" s="370"/>
      <c r="L428" s="369"/>
      <c r="M428" s="369"/>
      <c r="N428" s="369"/>
      <c r="O428" s="369"/>
      <c r="P428" s="369"/>
      <c r="Q428" s="369"/>
      <c r="R428" s="369"/>
      <c r="S428" s="369"/>
      <c r="T428" s="369"/>
      <c r="U428" s="369"/>
      <c r="V428" s="369"/>
      <c r="W428" s="369"/>
      <c r="X428" s="369"/>
      <c r="Y428" s="369"/>
      <c r="Z428" s="369"/>
    </row>
    <row r="429" spans="1:26" ht="14.25" customHeight="1">
      <c r="A429" s="369"/>
      <c r="B429" s="369"/>
      <c r="C429" s="369"/>
      <c r="D429" s="369"/>
      <c r="E429" s="369"/>
      <c r="F429" s="369"/>
      <c r="G429" s="369"/>
      <c r="H429" s="370"/>
      <c r="I429" s="371"/>
      <c r="J429" s="371"/>
      <c r="K429" s="370"/>
      <c r="L429" s="369"/>
      <c r="M429" s="369"/>
      <c r="N429" s="369"/>
      <c r="O429" s="369"/>
      <c r="P429" s="369"/>
      <c r="Q429" s="369"/>
      <c r="R429" s="369"/>
      <c r="S429" s="369"/>
      <c r="T429" s="369"/>
      <c r="U429" s="369"/>
      <c r="V429" s="369"/>
      <c r="W429" s="369"/>
      <c r="X429" s="369"/>
      <c r="Y429" s="369"/>
      <c r="Z429" s="369"/>
    </row>
    <row r="430" spans="1:26" ht="14.25" customHeight="1">
      <c r="A430" s="369"/>
      <c r="B430" s="369"/>
      <c r="C430" s="369"/>
      <c r="D430" s="369"/>
      <c r="E430" s="369"/>
      <c r="F430" s="369"/>
      <c r="G430" s="369"/>
      <c r="H430" s="370"/>
      <c r="I430" s="371"/>
      <c r="J430" s="371"/>
      <c r="K430" s="370"/>
      <c r="L430" s="369"/>
      <c r="M430" s="369"/>
      <c r="N430" s="369"/>
      <c r="O430" s="369"/>
      <c r="P430" s="369"/>
      <c r="Q430" s="369"/>
      <c r="R430" s="369"/>
      <c r="S430" s="369"/>
      <c r="T430" s="369"/>
      <c r="U430" s="369"/>
      <c r="V430" s="369"/>
      <c r="W430" s="369"/>
      <c r="X430" s="369"/>
      <c r="Y430" s="369"/>
      <c r="Z430" s="369"/>
    </row>
    <row r="431" spans="1:26" ht="14.25" customHeight="1">
      <c r="A431" s="369"/>
      <c r="B431" s="369"/>
      <c r="C431" s="369"/>
      <c r="D431" s="369"/>
      <c r="E431" s="369"/>
      <c r="F431" s="369"/>
      <c r="G431" s="369"/>
      <c r="H431" s="370"/>
      <c r="I431" s="371"/>
      <c r="J431" s="371"/>
      <c r="K431" s="370"/>
      <c r="L431" s="369"/>
      <c r="M431" s="369"/>
      <c r="N431" s="369"/>
      <c r="O431" s="369"/>
      <c r="P431" s="369"/>
      <c r="Q431" s="369"/>
      <c r="R431" s="369"/>
      <c r="S431" s="369"/>
      <c r="T431" s="369"/>
      <c r="U431" s="369"/>
      <c r="V431" s="369"/>
      <c r="W431" s="369"/>
      <c r="X431" s="369"/>
      <c r="Y431" s="369"/>
      <c r="Z431" s="369"/>
    </row>
    <row r="432" spans="1:26" ht="14.25" customHeight="1">
      <c r="A432" s="369"/>
      <c r="B432" s="369"/>
      <c r="C432" s="369"/>
      <c r="D432" s="369"/>
      <c r="E432" s="369"/>
      <c r="F432" s="369"/>
      <c r="G432" s="369"/>
      <c r="H432" s="370"/>
      <c r="I432" s="371"/>
      <c r="J432" s="371"/>
      <c r="K432" s="370"/>
      <c r="L432" s="369"/>
      <c r="M432" s="369"/>
      <c r="N432" s="369"/>
      <c r="O432" s="369"/>
      <c r="P432" s="369"/>
      <c r="Q432" s="369"/>
      <c r="R432" s="369"/>
      <c r="S432" s="369"/>
      <c r="T432" s="369"/>
      <c r="U432" s="369"/>
      <c r="V432" s="369"/>
      <c r="W432" s="369"/>
      <c r="X432" s="369"/>
      <c r="Y432" s="369"/>
      <c r="Z432" s="369"/>
    </row>
    <row r="433" spans="1:26" ht="14.25" customHeight="1">
      <c r="A433" s="369"/>
      <c r="B433" s="369"/>
      <c r="C433" s="369"/>
      <c r="D433" s="369"/>
      <c r="E433" s="369"/>
      <c r="F433" s="369"/>
      <c r="G433" s="369"/>
      <c r="H433" s="370"/>
      <c r="I433" s="371"/>
      <c r="J433" s="371"/>
      <c r="K433" s="370"/>
      <c r="L433" s="369"/>
      <c r="M433" s="369"/>
      <c r="N433" s="369"/>
      <c r="O433" s="369"/>
      <c r="P433" s="369"/>
      <c r="Q433" s="369"/>
      <c r="R433" s="369"/>
      <c r="S433" s="369"/>
      <c r="T433" s="369"/>
      <c r="U433" s="369"/>
      <c r="V433" s="369"/>
      <c r="W433" s="369"/>
      <c r="X433" s="369"/>
      <c r="Y433" s="369"/>
      <c r="Z433" s="369"/>
    </row>
    <row r="434" spans="1:26" ht="14.25" customHeight="1">
      <c r="A434" s="369"/>
      <c r="B434" s="369"/>
      <c r="C434" s="369"/>
      <c r="D434" s="369"/>
      <c r="E434" s="369"/>
      <c r="F434" s="369"/>
      <c r="G434" s="369"/>
      <c r="H434" s="370"/>
      <c r="I434" s="371"/>
      <c r="J434" s="371"/>
      <c r="K434" s="370"/>
      <c r="L434" s="369"/>
      <c r="M434" s="369"/>
      <c r="N434" s="369"/>
      <c r="O434" s="369"/>
      <c r="P434" s="369"/>
      <c r="Q434" s="369"/>
      <c r="R434" s="369"/>
      <c r="S434" s="369"/>
      <c r="T434" s="369"/>
      <c r="U434" s="369"/>
      <c r="V434" s="369"/>
      <c r="W434" s="369"/>
      <c r="X434" s="369"/>
      <c r="Y434" s="369"/>
      <c r="Z434" s="369"/>
    </row>
    <row r="435" spans="1:26" ht="14.25" customHeight="1">
      <c r="A435" s="369"/>
      <c r="B435" s="369"/>
      <c r="C435" s="369"/>
      <c r="D435" s="369"/>
      <c r="E435" s="369"/>
      <c r="F435" s="369"/>
      <c r="G435" s="369"/>
      <c r="H435" s="370"/>
      <c r="I435" s="371"/>
      <c r="J435" s="371"/>
      <c r="K435" s="370"/>
      <c r="L435" s="369"/>
      <c r="M435" s="369"/>
      <c r="N435" s="369"/>
      <c r="O435" s="369"/>
      <c r="P435" s="369"/>
      <c r="Q435" s="369"/>
      <c r="R435" s="369"/>
      <c r="S435" s="369"/>
      <c r="T435" s="369"/>
      <c r="U435" s="369"/>
      <c r="V435" s="369"/>
      <c r="W435" s="369"/>
      <c r="X435" s="369"/>
      <c r="Y435" s="369"/>
      <c r="Z435" s="369"/>
    </row>
    <row r="436" spans="1:26" ht="14.25" customHeight="1">
      <c r="A436" s="369"/>
      <c r="B436" s="369"/>
      <c r="C436" s="369"/>
      <c r="D436" s="369"/>
      <c r="E436" s="369"/>
      <c r="F436" s="369"/>
      <c r="G436" s="369"/>
      <c r="H436" s="370"/>
      <c r="I436" s="371"/>
      <c r="J436" s="371"/>
      <c r="K436" s="370"/>
      <c r="L436" s="369"/>
      <c r="M436" s="369"/>
      <c r="N436" s="369"/>
      <c r="O436" s="369"/>
      <c r="P436" s="369"/>
      <c r="Q436" s="369"/>
      <c r="R436" s="369"/>
      <c r="S436" s="369"/>
      <c r="T436" s="369"/>
      <c r="U436" s="369"/>
      <c r="V436" s="369"/>
      <c r="W436" s="369"/>
      <c r="X436" s="369"/>
      <c r="Y436" s="369"/>
      <c r="Z436" s="369"/>
    </row>
    <row r="437" spans="1:26" ht="14.25" customHeight="1">
      <c r="A437" s="369"/>
      <c r="B437" s="369"/>
      <c r="C437" s="369"/>
      <c r="D437" s="369"/>
      <c r="E437" s="369"/>
      <c r="F437" s="369"/>
      <c r="G437" s="369"/>
      <c r="H437" s="370"/>
      <c r="I437" s="371"/>
      <c r="J437" s="371"/>
      <c r="K437" s="370"/>
      <c r="L437" s="369"/>
      <c r="M437" s="369"/>
      <c r="N437" s="369"/>
      <c r="O437" s="369"/>
      <c r="P437" s="369"/>
      <c r="Q437" s="369"/>
      <c r="R437" s="369"/>
      <c r="S437" s="369"/>
      <c r="T437" s="369"/>
      <c r="U437" s="369"/>
      <c r="V437" s="369"/>
      <c r="W437" s="369"/>
      <c r="X437" s="369"/>
      <c r="Y437" s="369"/>
      <c r="Z437" s="369"/>
    </row>
    <row r="438" spans="1:26" ht="14.25" customHeight="1">
      <c r="A438" s="369"/>
      <c r="B438" s="369"/>
      <c r="C438" s="369"/>
      <c r="D438" s="369"/>
      <c r="E438" s="369"/>
      <c r="F438" s="369"/>
      <c r="G438" s="369"/>
      <c r="H438" s="370"/>
      <c r="I438" s="371"/>
      <c r="J438" s="371"/>
      <c r="K438" s="370"/>
      <c r="L438" s="369"/>
      <c r="M438" s="369"/>
      <c r="N438" s="369"/>
      <c r="O438" s="369"/>
      <c r="P438" s="369"/>
      <c r="Q438" s="369"/>
      <c r="R438" s="369"/>
      <c r="S438" s="369"/>
      <c r="T438" s="369"/>
      <c r="U438" s="369"/>
      <c r="V438" s="369"/>
      <c r="W438" s="369"/>
      <c r="X438" s="369"/>
      <c r="Y438" s="369"/>
      <c r="Z438" s="369"/>
    </row>
    <row r="439" spans="1:26" ht="14.25" customHeight="1">
      <c r="A439" s="369"/>
      <c r="B439" s="369"/>
      <c r="C439" s="369"/>
      <c r="D439" s="369"/>
      <c r="E439" s="369"/>
      <c r="F439" s="369"/>
      <c r="G439" s="369"/>
      <c r="H439" s="370"/>
      <c r="I439" s="371"/>
      <c r="J439" s="371"/>
      <c r="K439" s="370"/>
      <c r="L439" s="369"/>
      <c r="M439" s="369"/>
      <c r="N439" s="369"/>
      <c r="O439" s="369"/>
      <c r="P439" s="369"/>
      <c r="Q439" s="369"/>
      <c r="R439" s="369"/>
      <c r="S439" s="369"/>
      <c r="T439" s="369"/>
      <c r="U439" s="369"/>
      <c r="V439" s="369"/>
      <c r="W439" s="369"/>
      <c r="X439" s="369"/>
      <c r="Y439" s="369"/>
      <c r="Z439" s="369"/>
    </row>
    <row r="440" spans="1:26" ht="14.25" customHeight="1">
      <c r="A440" s="369"/>
      <c r="B440" s="369"/>
      <c r="C440" s="369"/>
      <c r="D440" s="369"/>
      <c r="E440" s="369"/>
      <c r="F440" s="369"/>
      <c r="G440" s="369"/>
      <c r="H440" s="370"/>
      <c r="I440" s="371"/>
      <c r="J440" s="371"/>
      <c r="K440" s="370"/>
      <c r="L440" s="369"/>
      <c r="M440" s="369"/>
      <c r="N440" s="369"/>
      <c r="O440" s="369"/>
      <c r="P440" s="369"/>
      <c r="Q440" s="369"/>
      <c r="R440" s="369"/>
      <c r="S440" s="369"/>
      <c r="T440" s="369"/>
      <c r="U440" s="369"/>
      <c r="V440" s="369"/>
      <c r="W440" s="369"/>
      <c r="X440" s="369"/>
      <c r="Y440" s="369"/>
      <c r="Z440" s="369"/>
    </row>
    <row r="441" spans="1:26" ht="14.25" customHeight="1">
      <c r="A441" s="369"/>
      <c r="B441" s="369"/>
      <c r="C441" s="369"/>
      <c r="D441" s="369"/>
      <c r="E441" s="369"/>
      <c r="F441" s="369"/>
      <c r="G441" s="369"/>
      <c r="H441" s="370"/>
      <c r="I441" s="371"/>
      <c r="J441" s="371"/>
      <c r="K441" s="370"/>
      <c r="L441" s="369"/>
      <c r="M441" s="369"/>
      <c r="N441" s="369"/>
      <c r="O441" s="369"/>
      <c r="P441" s="369"/>
      <c r="Q441" s="369"/>
      <c r="R441" s="369"/>
      <c r="S441" s="369"/>
      <c r="T441" s="369"/>
      <c r="U441" s="369"/>
      <c r="V441" s="369"/>
      <c r="W441" s="369"/>
      <c r="X441" s="369"/>
      <c r="Y441" s="369"/>
      <c r="Z441" s="369"/>
    </row>
    <row r="442" spans="1:26" ht="14.25" customHeight="1">
      <c r="A442" s="369"/>
      <c r="B442" s="369"/>
      <c r="C442" s="369"/>
      <c r="D442" s="369"/>
      <c r="E442" s="369"/>
      <c r="F442" s="369"/>
      <c r="G442" s="369"/>
      <c r="H442" s="370"/>
      <c r="I442" s="371"/>
      <c r="J442" s="371"/>
      <c r="K442" s="370"/>
      <c r="L442" s="369"/>
      <c r="M442" s="369"/>
      <c r="N442" s="369"/>
      <c r="O442" s="369"/>
      <c r="P442" s="369"/>
      <c r="Q442" s="369"/>
      <c r="R442" s="369"/>
      <c r="S442" s="369"/>
      <c r="T442" s="369"/>
      <c r="U442" s="369"/>
      <c r="V442" s="369"/>
      <c r="W442" s="369"/>
      <c r="X442" s="369"/>
      <c r="Y442" s="369"/>
      <c r="Z442" s="369"/>
    </row>
    <row r="443" spans="1:26" ht="14.25" customHeight="1">
      <c r="A443" s="369"/>
      <c r="B443" s="369"/>
      <c r="C443" s="369"/>
      <c r="D443" s="369"/>
      <c r="E443" s="369"/>
      <c r="F443" s="369"/>
      <c r="G443" s="369"/>
      <c r="H443" s="370"/>
      <c r="I443" s="371"/>
      <c r="J443" s="371"/>
      <c r="K443" s="370"/>
      <c r="L443" s="369"/>
      <c r="M443" s="369"/>
      <c r="N443" s="369"/>
      <c r="O443" s="369"/>
      <c r="P443" s="369"/>
      <c r="Q443" s="369"/>
      <c r="R443" s="369"/>
      <c r="S443" s="369"/>
      <c r="T443" s="369"/>
      <c r="U443" s="369"/>
      <c r="V443" s="369"/>
      <c r="W443" s="369"/>
      <c r="X443" s="369"/>
      <c r="Y443" s="369"/>
      <c r="Z443" s="369"/>
    </row>
    <row r="444" spans="1:26" ht="14.25" customHeight="1">
      <c r="A444" s="369"/>
      <c r="B444" s="369"/>
      <c r="C444" s="369"/>
      <c r="D444" s="369"/>
      <c r="E444" s="369"/>
      <c r="F444" s="369"/>
      <c r="G444" s="369"/>
      <c r="H444" s="370"/>
      <c r="I444" s="371"/>
      <c r="J444" s="371"/>
      <c r="K444" s="370"/>
      <c r="L444" s="369"/>
      <c r="M444" s="369"/>
      <c r="N444" s="369"/>
      <c r="O444" s="369"/>
      <c r="P444" s="369"/>
      <c r="Q444" s="369"/>
      <c r="R444" s="369"/>
      <c r="S444" s="369"/>
      <c r="T444" s="369"/>
      <c r="U444" s="369"/>
      <c r="V444" s="369"/>
      <c r="W444" s="369"/>
      <c r="X444" s="369"/>
      <c r="Y444" s="369"/>
      <c r="Z444" s="369"/>
    </row>
    <row r="445" spans="1:26" ht="14.25" customHeight="1">
      <c r="A445" s="369"/>
      <c r="B445" s="369"/>
      <c r="C445" s="369"/>
      <c r="D445" s="369"/>
      <c r="E445" s="369"/>
      <c r="F445" s="369"/>
      <c r="G445" s="369"/>
      <c r="H445" s="370"/>
      <c r="I445" s="371"/>
      <c r="J445" s="371"/>
      <c r="K445" s="370"/>
      <c r="L445" s="369"/>
      <c r="M445" s="369"/>
      <c r="N445" s="369"/>
      <c r="O445" s="369"/>
      <c r="P445" s="369"/>
      <c r="Q445" s="369"/>
      <c r="R445" s="369"/>
      <c r="S445" s="369"/>
      <c r="T445" s="369"/>
      <c r="U445" s="369"/>
      <c r="V445" s="369"/>
      <c r="W445" s="369"/>
      <c r="X445" s="369"/>
      <c r="Y445" s="369"/>
      <c r="Z445" s="369"/>
    </row>
    <row r="446" spans="1:26" ht="14.25" customHeight="1">
      <c r="A446" s="369"/>
      <c r="B446" s="369"/>
      <c r="C446" s="369"/>
      <c r="D446" s="369"/>
      <c r="E446" s="369"/>
      <c r="F446" s="369"/>
      <c r="G446" s="369"/>
      <c r="H446" s="370"/>
      <c r="I446" s="371"/>
      <c r="J446" s="371"/>
      <c r="K446" s="370"/>
      <c r="L446" s="369"/>
      <c r="M446" s="369"/>
      <c r="N446" s="369"/>
      <c r="O446" s="369"/>
      <c r="P446" s="369"/>
      <c r="Q446" s="369"/>
      <c r="R446" s="369"/>
      <c r="S446" s="369"/>
      <c r="T446" s="369"/>
      <c r="U446" s="369"/>
      <c r="V446" s="369"/>
      <c r="W446" s="369"/>
      <c r="X446" s="369"/>
      <c r="Y446" s="369"/>
      <c r="Z446" s="369"/>
    </row>
    <row r="447" spans="1:26" ht="14.25" customHeight="1">
      <c r="A447" s="369"/>
      <c r="B447" s="369"/>
      <c r="C447" s="369"/>
      <c r="D447" s="369"/>
      <c r="E447" s="369"/>
      <c r="F447" s="369"/>
      <c r="G447" s="369"/>
      <c r="H447" s="370"/>
      <c r="I447" s="371"/>
      <c r="J447" s="371"/>
      <c r="K447" s="370"/>
      <c r="L447" s="369"/>
      <c r="M447" s="369"/>
      <c r="N447" s="369"/>
      <c r="O447" s="369"/>
      <c r="P447" s="369"/>
      <c r="Q447" s="369"/>
      <c r="R447" s="369"/>
      <c r="S447" s="369"/>
      <c r="T447" s="369"/>
      <c r="U447" s="369"/>
      <c r="V447" s="369"/>
      <c r="W447" s="369"/>
      <c r="X447" s="369"/>
      <c r="Y447" s="369"/>
      <c r="Z447" s="369"/>
    </row>
    <row r="448" spans="1:26" ht="14.25" customHeight="1">
      <c r="A448" s="369"/>
      <c r="B448" s="369"/>
      <c r="C448" s="369"/>
      <c r="D448" s="369"/>
      <c r="E448" s="369"/>
      <c r="F448" s="369"/>
      <c r="G448" s="369"/>
      <c r="H448" s="370"/>
      <c r="I448" s="371"/>
      <c r="J448" s="371"/>
      <c r="K448" s="370"/>
      <c r="L448" s="369"/>
      <c r="M448" s="369"/>
      <c r="N448" s="369"/>
      <c r="O448" s="369"/>
      <c r="P448" s="369"/>
      <c r="Q448" s="369"/>
      <c r="R448" s="369"/>
      <c r="S448" s="369"/>
      <c r="T448" s="369"/>
      <c r="U448" s="369"/>
      <c r="V448" s="369"/>
      <c r="W448" s="369"/>
      <c r="X448" s="369"/>
      <c r="Y448" s="369"/>
      <c r="Z448" s="369"/>
    </row>
    <row r="449" spans="1:26" ht="14.25" customHeight="1">
      <c r="A449" s="369"/>
      <c r="B449" s="369"/>
      <c r="C449" s="369"/>
      <c r="D449" s="369"/>
      <c r="E449" s="369"/>
      <c r="F449" s="369"/>
      <c r="G449" s="369"/>
      <c r="H449" s="370"/>
      <c r="I449" s="371"/>
      <c r="J449" s="371"/>
      <c r="K449" s="370"/>
      <c r="L449" s="369"/>
      <c r="M449" s="369"/>
      <c r="N449" s="369"/>
      <c r="O449" s="369"/>
      <c r="P449" s="369"/>
      <c r="Q449" s="369"/>
      <c r="R449" s="369"/>
      <c r="S449" s="369"/>
      <c r="T449" s="369"/>
      <c r="U449" s="369"/>
      <c r="V449" s="369"/>
      <c r="W449" s="369"/>
      <c r="X449" s="369"/>
      <c r="Y449" s="369"/>
      <c r="Z449" s="369"/>
    </row>
    <row r="450" spans="1:26" ht="14.25" customHeight="1">
      <c r="A450" s="369"/>
      <c r="B450" s="369"/>
      <c r="C450" s="369"/>
      <c r="D450" s="369"/>
      <c r="E450" s="369"/>
      <c r="F450" s="369"/>
      <c r="G450" s="369"/>
      <c r="H450" s="370"/>
      <c r="I450" s="371"/>
      <c r="J450" s="371"/>
      <c r="K450" s="370"/>
      <c r="L450" s="369"/>
      <c r="M450" s="369"/>
      <c r="N450" s="369"/>
      <c r="O450" s="369"/>
      <c r="P450" s="369"/>
      <c r="Q450" s="369"/>
      <c r="R450" s="369"/>
      <c r="S450" s="369"/>
      <c r="T450" s="369"/>
      <c r="U450" s="369"/>
      <c r="V450" s="369"/>
      <c r="W450" s="369"/>
      <c r="X450" s="369"/>
      <c r="Y450" s="369"/>
      <c r="Z450" s="369"/>
    </row>
    <row r="451" spans="1:26" ht="14.25" customHeight="1">
      <c r="A451" s="369"/>
      <c r="B451" s="369"/>
      <c r="C451" s="369"/>
      <c r="D451" s="369"/>
      <c r="E451" s="369"/>
      <c r="F451" s="369"/>
      <c r="G451" s="369"/>
      <c r="H451" s="370"/>
      <c r="I451" s="371"/>
      <c r="J451" s="371"/>
      <c r="K451" s="370"/>
      <c r="L451" s="369"/>
      <c r="M451" s="369"/>
      <c r="N451" s="369"/>
      <c r="O451" s="369"/>
      <c r="P451" s="369"/>
      <c r="Q451" s="369"/>
      <c r="R451" s="369"/>
      <c r="S451" s="369"/>
      <c r="T451" s="369"/>
      <c r="U451" s="369"/>
      <c r="V451" s="369"/>
      <c r="W451" s="369"/>
      <c r="X451" s="369"/>
      <c r="Y451" s="369"/>
      <c r="Z451" s="369"/>
    </row>
    <row r="452" spans="1:26" ht="14.25" customHeight="1">
      <c r="A452" s="369"/>
      <c r="B452" s="369"/>
      <c r="C452" s="369"/>
      <c r="D452" s="369"/>
      <c r="E452" s="369"/>
      <c r="F452" s="369"/>
      <c r="G452" s="369"/>
      <c r="H452" s="370"/>
      <c r="I452" s="371"/>
      <c r="J452" s="371"/>
      <c r="K452" s="370"/>
      <c r="L452" s="369"/>
      <c r="M452" s="369"/>
      <c r="N452" s="369"/>
      <c r="O452" s="369"/>
      <c r="P452" s="369"/>
      <c r="Q452" s="369"/>
      <c r="R452" s="369"/>
      <c r="S452" s="369"/>
      <c r="T452" s="369"/>
      <c r="U452" s="369"/>
      <c r="V452" s="369"/>
      <c r="W452" s="369"/>
      <c r="X452" s="369"/>
      <c r="Y452" s="369"/>
      <c r="Z452" s="369"/>
    </row>
    <row r="453" spans="1:26" ht="14.25" customHeight="1">
      <c r="A453" s="369"/>
      <c r="B453" s="369"/>
      <c r="C453" s="369"/>
      <c r="D453" s="369"/>
      <c r="E453" s="369"/>
      <c r="F453" s="369"/>
      <c r="G453" s="369"/>
      <c r="H453" s="370"/>
      <c r="I453" s="371"/>
      <c r="J453" s="371"/>
      <c r="K453" s="370"/>
      <c r="L453" s="369"/>
      <c r="M453" s="369"/>
      <c r="N453" s="369"/>
      <c r="O453" s="369"/>
      <c r="P453" s="369"/>
      <c r="Q453" s="369"/>
      <c r="R453" s="369"/>
      <c r="S453" s="369"/>
      <c r="T453" s="369"/>
      <c r="U453" s="369"/>
      <c r="V453" s="369"/>
      <c r="W453" s="369"/>
      <c r="X453" s="369"/>
      <c r="Y453" s="369"/>
      <c r="Z453" s="369"/>
    </row>
    <row r="454" spans="1:26" ht="14.25" customHeight="1">
      <c r="A454" s="369"/>
      <c r="B454" s="369"/>
      <c r="C454" s="369"/>
      <c r="D454" s="369"/>
      <c r="E454" s="369"/>
      <c r="F454" s="369"/>
      <c r="G454" s="369"/>
      <c r="H454" s="370"/>
      <c r="I454" s="371"/>
      <c r="J454" s="371"/>
      <c r="K454" s="370"/>
      <c r="L454" s="369"/>
      <c r="M454" s="369"/>
      <c r="N454" s="369"/>
      <c r="O454" s="369"/>
      <c r="P454" s="369"/>
      <c r="Q454" s="369"/>
      <c r="R454" s="369"/>
      <c r="S454" s="369"/>
      <c r="T454" s="369"/>
      <c r="U454" s="369"/>
      <c r="V454" s="369"/>
      <c r="W454" s="369"/>
      <c r="X454" s="369"/>
      <c r="Y454" s="369"/>
      <c r="Z454" s="369"/>
    </row>
    <row r="455" spans="1:26" ht="14.25" customHeight="1">
      <c r="A455" s="369"/>
      <c r="B455" s="369"/>
      <c r="C455" s="369"/>
      <c r="D455" s="369"/>
      <c r="E455" s="369"/>
      <c r="F455" s="369"/>
      <c r="G455" s="369"/>
      <c r="H455" s="370"/>
      <c r="I455" s="371"/>
      <c r="J455" s="371"/>
      <c r="K455" s="370"/>
      <c r="L455" s="369"/>
      <c r="M455" s="369"/>
      <c r="N455" s="369"/>
      <c r="O455" s="369"/>
      <c r="P455" s="369"/>
      <c r="Q455" s="369"/>
      <c r="R455" s="369"/>
      <c r="S455" s="369"/>
      <c r="T455" s="369"/>
      <c r="U455" s="369"/>
      <c r="V455" s="369"/>
      <c r="W455" s="369"/>
      <c r="X455" s="369"/>
      <c r="Y455" s="369"/>
      <c r="Z455" s="369"/>
    </row>
    <row r="456" spans="1:26" ht="14.25" customHeight="1">
      <c r="A456" s="369"/>
      <c r="B456" s="369"/>
      <c r="C456" s="369"/>
      <c r="D456" s="369"/>
      <c r="E456" s="369"/>
      <c r="F456" s="369"/>
      <c r="G456" s="369"/>
      <c r="H456" s="370"/>
      <c r="I456" s="371"/>
      <c r="J456" s="371"/>
      <c r="K456" s="370"/>
      <c r="L456" s="369"/>
      <c r="M456" s="369"/>
      <c r="N456" s="369"/>
      <c r="O456" s="369"/>
      <c r="P456" s="369"/>
      <c r="Q456" s="369"/>
      <c r="R456" s="369"/>
      <c r="S456" s="369"/>
      <c r="T456" s="369"/>
      <c r="U456" s="369"/>
      <c r="V456" s="369"/>
      <c r="W456" s="369"/>
      <c r="X456" s="369"/>
      <c r="Y456" s="369"/>
      <c r="Z456" s="369"/>
    </row>
    <row r="457" spans="1:26" ht="14.25" customHeight="1">
      <c r="A457" s="369"/>
      <c r="B457" s="369"/>
      <c r="C457" s="369"/>
      <c r="D457" s="369"/>
      <c r="E457" s="369"/>
      <c r="F457" s="369"/>
      <c r="G457" s="369"/>
      <c r="H457" s="370"/>
      <c r="I457" s="371"/>
      <c r="J457" s="371"/>
      <c r="K457" s="370"/>
      <c r="L457" s="369"/>
      <c r="M457" s="369"/>
      <c r="N457" s="369"/>
      <c r="O457" s="369"/>
      <c r="P457" s="369"/>
      <c r="Q457" s="369"/>
      <c r="R457" s="369"/>
      <c r="S457" s="369"/>
      <c r="T457" s="369"/>
      <c r="U457" s="369"/>
      <c r="V457" s="369"/>
      <c r="W457" s="369"/>
      <c r="X457" s="369"/>
      <c r="Y457" s="369"/>
      <c r="Z457" s="369"/>
    </row>
    <row r="458" spans="1:26" ht="14.25" customHeight="1">
      <c r="A458" s="369"/>
      <c r="B458" s="369"/>
      <c r="C458" s="369"/>
      <c r="D458" s="369"/>
      <c r="E458" s="369"/>
      <c r="F458" s="369"/>
      <c r="G458" s="369"/>
      <c r="H458" s="370"/>
      <c r="I458" s="371"/>
      <c r="J458" s="371"/>
      <c r="K458" s="370"/>
      <c r="L458" s="369"/>
      <c r="M458" s="369"/>
      <c r="N458" s="369"/>
      <c r="O458" s="369"/>
      <c r="P458" s="369"/>
      <c r="Q458" s="369"/>
      <c r="R458" s="369"/>
      <c r="S458" s="369"/>
      <c r="T458" s="369"/>
      <c r="U458" s="369"/>
      <c r="V458" s="369"/>
      <c r="W458" s="369"/>
      <c r="X458" s="369"/>
      <c r="Y458" s="369"/>
      <c r="Z458" s="369"/>
    </row>
    <row r="459" spans="1:26" ht="14.25" customHeight="1">
      <c r="A459" s="369"/>
      <c r="B459" s="369"/>
      <c r="C459" s="369"/>
      <c r="D459" s="369"/>
      <c r="E459" s="369"/>
      <c r="F459" s="369"/>
      <c r="G459" s="369"/>
      <c r="H459" s="370"/>
      <c r="I459" s="371"/>
      <c r="J459" s="371"/>
      <c r="K459" s="370"/>
      <c r="L459" s="369"/>
      <c r="M459" s="369"/>
      <c r="N459" s="369"/>
      <c r="O459" s="369"/>
      <c r="P459" s="369"/>
      <c r="Q459" s="369"/>
      <c r="R459" s="369"/>
      <c r="S459" s="369"/>
      <c r="T459" s="369"/>
      <c r="U459" s="369"/>
      <c r="V459" s="369"/>
      <c r="W459" s="369"/>
      <c r="X459" s="369"/>
      <c r="Y459" s="369"/>
      <c r="Z459" s="369"/>
    </row>
    <row r="460" spans="1:26" ht="14.25" customHeight="1">
      <c r="A460" s="369"/>
      <c r="B460" s="369"/>
      <c r="C460" s="369"/>
      <c r="D460" s="369"/>
      <c r="E460" s="369"/>
      <c r="F460" s="369"/>
      <c r="G460" s="369"/>
      <c r="H460" s="370"/>
      <c r="I460" s="371"/>
      <c r="J460" s="371"/>
      <c r="K460" s="370"/>
      <c r="L460" s="369"/>
      <c r="M460" s="369"/>
      <c r="N460" s="369"/>
      <c r="O460" s="369"/>
      <c r="P460" s="369"/>
      <c r="Q460" s="369"/>
      <c r="R460" s="369"/>
      <c r="S460" s="369"/>
      <c r="T460" s="369"/>
      <c r="U460" s="369"/>
      <c r="V460" s="369"/>
      <c r="W460" s="369"/>
      <c r="X460" s="369"/>
      <c r="Y460" s="369"/>
      <c r="Z460" s="369"/>
    </row>
    <row r="461" spans="1:26" ht="14.25" customHeight="1">
      <c r="A461" s="369"/>
      <c r="B461" s="369"/>
      <c r="C461" s="369"/>
      <c r="D461" s="369"/>
      <c r="E461" s="369"/>
      <c r="F461" s="369"/>
      <c r="G461" s="369"/>
      <c r="H461" s="370"/>
      <c r="I461" s="371"/>
      <c r="J461" s="371"/>
      <c r="K461" s="370"/>
      <c r="L461" s="369"/>
      <c r="M461" s="369"/>
      <c r="N461" s="369"/>
      <c r="O461" s="369"/>
      <c r="P461" s="369"/>
      <c r="Q461" s="369"/>
      <c r="R461" s="369"/>
      <c r="S461" s="369"/>
      <c r="T461" s="369"/>
      <c r="U461" s="369"/>
      <c r="V461" s="369"/>
      <c r="W461" s="369"/>
      <c r="X461" s="369"/>
      <c r="Y461" s="369"/>
      <c r="Z461" s="369"/>
    </row>
    <row r="462" spans="1:26" ht="14.25" customHeight="1">
      <c r="A462" s="369"/>
      <c r="B462" s="369"/>
      <c r="C462" s="369"/>
      <c r="D462" s="369"/>
      <c r="E462" s="369"/>
      <c r="F462" s="369"/>
      <c r="G462" s="369"/>
      <c r="H462" s="370"/>
      <c r="I462" s="371"/>
      <c r="J462" s="371"/>
      <c r="K462" s="370"/>
      <c r="L462" s="369"/>
      <c r="M462" s="369"/>
      <c r="N462" s="369"/>
      <c r="O462" s="369"/>
      <c r="P462" s="369"/>
      <c r="Q462" s="369"/>
      <c r="R462" s="369"/>
      <c r="S462" s="369"/>
      <c r="T462" s="369"/>
      <c r="U462" s="369"/>
      <c r="V462" s="369"/>
      <c r="W462" s="369"/>
      <c r="X462" s="369"/>
      <c r="Y462" s="369"/>
      <c r="Z462" s="369"/>
    </row>
    <row r="463" spans="1:26" ht="14.25" customHeight="1">
      <c r="A463" s="369"/>
      <c r="B463" s="369"/>
      <c r="C463" s="369"/>
      <c r="D463" s="369"/>
      <c r="E463" s="369"/>
      <c r="F463" s="369"/>
      <c r="G463" s="369"/>
      <c r="H463" s="370"/>
      <c r="I463" s="371"/>
      <c r="J463" s="371"/>
      <c r="K463" s="370"/>
      <c r="L463" s="369"/>
      <c r="M463" s="369"/>
      <c r="N463" s="369"/>
      <c r="O463" s="369"/>
      <c r="P463" s="369"/>
      <c r="Q463" s="369"/>
      <c r="R463" s="369"/>
      <c r="S463" s="369"/>
      <c r="T463" s="369"/>
      <c r="U463" s="369"/>
      <c r="V463" s="369"/>
      <c r="W463" s="369"/>
      <c r="X463" s="369"/>
      <c r="Y463" s="369"/>
      <c r="Z463" s="369"/>
    </row>
    <row r="464" spans="1:26" ht="14.25" customHeight="1">
      <c r="A464" s="369"/>
      <c r="B464" s="369"/>
      <c r="C464" s="369"/>
      <c r="D464" s="369"/>
      <c r="E464" s="369"/>
      <c r="F464" s="369"/>
      <c r="G464" s="369"/>
      <c r="H464" s="370"/>
      <c r="I464" s="371"/>
      <c r="J464" s="371"/>
      <c r="K464" s="370"/>
      <c r="L464" s="369"/>
      <c r="M464" s="369"/>
      <c r="N464" s="369"/>
      <c r="O464" s="369"/>
      <c r="P464" s="369"/>
      <c r="Q464" s="369"/>
      <c r="R464" s="369"/>
      <c r="S464" s="369"/>
      <c r="T464" s="369"/>
      <c r="U464" s="369"/>
      <c r="V464" s="369"/>
      <c r="W464" s="369"/>
      <c r="X464" s="369"/>
      <c r="Y464" s="369"/>
      <c r="Z464" s="369"/>
    </row>
    <row r="465" spans="1:26" ht="14.25" customHeight="1">
      <c r="A465" s="369"/>
      <c r="B465" s="369"/>
      <c r="C465" s="369"/>
      <c r="D465" s="369"/>
      <c r="E465" s="369"/>
      <c r="F465" s="369"/>
      <c r="G465" s="369"/>
      <c r="H465" s="370"/>
      <c r="I465" s="371"/>
      <c r="J465" s="371"/>
      <c r="K465" s="370"/>
      <c r="L465" s="369"/>
      <c r="M465" s="369"/>
      <c r="N465" s="369"/>
      <c r="O465" s="369"/>
      <c r="P465" s="369"/>
      <c r="Q465" s="369"/>
      <c r="R465" s="369"/>
      <c r="S465" s="369"/>
      <c r="T465" s="369"/>
      <c r="U465" s="369"/>
      <c r="V465" s="369"/>
      <c r="W465" s="369"/>
      <c r="X465" s="369"/>
      <c r="Y465" s="369"/>
      <c r="Z465" s="369"/>
    </row>
    <row r="466" spans="1:26" ht="14.25" customHeight="1">
      <c r="A466" s="369"/>
      <c r="B466" s="369"/>
      <c r="C466" s="369"/>
      <c r="D466" s="369"/>
      <c r="E466" s="369"/>
      <c r="F466" s="369"/>
      <c r="G466" s="369"/>
      <c r="H466" s="370"/>
      <c r="I466" s="371"/>
      <c r="J466" s="371"/>
      <c r="K466" s="370"/>
      <c r="L466" s="369"/>
      <c r="M466" s="369"/>
      <c r="N466" s="369"/>
      <c r="O466" s="369"/>
      <c r="P466" s="369"/>
      <c r="Q466" s="369"/>
      <c r="R466" s="369"/>
      <c r="S466" s="369"/>
      <c r="T466" s="369"/>
      <c r="U466" s="369"/>
      <c r="V466" s="369"/>
      <c r="W466" s="369"/>
      <c r="X466" s="369"/>
      <c r="Y466" s="369"/>
      <c r="Z466" s="369"/>
    </row>
    <row r="467" spans="1:26" ht="14.25" customHeight="1">
      <c r="A467" s="369"/>
      <c r="B467" s="369"/>
      <c r="C467" s="369"/>
      <c r="D467" s="369"/>
      <c r="E467" s="369"/>
      <c r="F467" s="369"/>
      <c r="G467" s="369"/>
      <c r="H467" s="370"/>
      <c r="I467" s="371"/>
      <c r="J467" s="371"/>
      <c r="K467" s="370"/>
      <c r="L467" s="369"/>
      <c r="M467" s="369"/>
      <c r="N467" s="369"/>
      <c r="O467" s="369"/>
      <c r="P467" s="369"/>
      <c r="Q467" s="369"/>
      <c r="R467" s="369"/>
      <c r="S467" s="369"/>
      <c r="T467" s="369"/>
      <c r="U467" s="369"/>
      <c r="V467" s="369"/>
      <c r="W467" s="369"/>
      <c r="X467" s="369"/>
      <c r="Y467" s="369"/>
      <c r="Z467" s="369"/>
    </row>
    <row r="468" spans="1:26" ht="14.25" customHeight="1">
      <c r="A468" s="369"/>
      <c r="B468" s="369"/>
      <c r="C468" s="369"/>
      <c r="D468" s="369"/>
      <c r="E468" s="369"/>
      <c r="F468" s="369"/>
      <c r="G468" s="369"/>
      <c r="H468" s="370"/>
      <c r="I468" s="371"/>
      <c r="J468" s="371"/>
      <c r="K468" s="370"/>
      <c r="L468" s="369"/>
      <c r="M468" s="369"/>
      <c r="N468" s="369"/>
      <c r="O468" s="369"/>
      <c r="P468" s="369"/>
      <c r="Q468" s="369"/>
      <c r="R468" s="369"/>
      <c r="S468" s="369"/>
      <c r="T468" s="369"/>
      <c r="U468" s="369"/>
      <c r="V468" s="369"/>
      <c r="W468" s="369"/>
      <c r="X468" s="369"/>
      <c r="Y468" s="369"/>
      <c r="Z468" s="369"/>
    </row>
    <row r="469" spans="1:26" ht="14.25" customHeight="1">
      <c r="A469" s="369"/>
      <c r="B469" s="369"/>
      <c r="C469" s="369"/>
      <c r="D469" s="369"/>
      <c r="E469" s="369"/>
      <c r="F469" s="369"/>
      <c r="G469" s="369"/>
      <c r="H469" s="370"/>
      <c r="I469" s="371"/>
      <c r="J469" s="371"/>
      <c r="K469" s="370"/>
      <c r="L469" s="369"/>
      <c r="M469" s="369"/>
      <c r="N469" s="369"/>
      <c r="O469" s="369"/>
      <c r="P469" s="369"/>
      <c r="Q469" s="369"/>
      <c r="R469" s="369"/>
      <c r="S469" s="369"/>
      <c r="T469" s="369"/>
      <c r="U469" s="369"/>
      <c r="V469" s="369"/>
      <c r="W469" s="369"/>
      <c r="X469" s="369"/>
      <c r="Y469" s="369"/>
      <c r="Z469" s="369"/>
    </row>
    <row r="470" spans="1:26" ht="14.25" customHeight="1">
      <c r="A470" s="369"/>
      <c r="B470" s="369"/>
      <c r="C470" s="369"/>
      <c r="D470" s="369"/>
      <c r="E470" s="369"/>
      <c r="F470" s="369"/>
      <c r="G470" s="369"/>
      <c r="H470" s="370"/>
      <c r="I470" s="371"/>
      <c r="J470" s="371"/>
      <c r="K470" s="370"/>
      <c r="L470" s="369"/>
      <c r="M470" s="369"/>
      <c r="N470" s="369"/>
      <c r="O470" s="369"/>
      <c r="P470" s="369"/>
      <c r="Q470" s="369"/>
      <c r="R470" s="369"/>
      <c r="S470" s="369"/>
      <c r="T470" s="369"/>
      <c r="U470" s="369"/>
      <c r="V470" s="369"/>
      <c r="W470" s="369"/>
      <c r="X470" s="369"/>
      <c r="Y470" s="369"/>
      <c r="Z470" s="369"/>
    </row>
    <row r="471" spans="1:26" ht="14.25" customHeight="1">
      <c r="A471" s="369"/>
      <c r="B471" s="369"/>
      <c r="C471" s="369"/>
      <c r="D471" s="369"/>
      <c r="E471" s="369"/>
      <c r="F471" s="369"/>
      <c r="G471" s="369"/>
      <c r="H471" s="370"/>
      <c r="I471" s="371"/>
      <c r="J471" s="371"/>
      <c r="K471" s="370"/>
      <c r="L471" s="369"/>
      <c r="M471" s="369"/>
      <c r="N471" s="369"/>
      <c r="O471" s="369"/>
      <c r="P471" s="369"/>
      <c r="Q471" s="369"/>
      <c r="R471" s="369"/>
      <c r="S471" s="369"/>
      <c r="T471" s="369"/>
      <c r="U471" s="369"/>
      <c r="V471" s="369"/>
      <c r="W471" s="369"/>
      <c r="X471" s="369"/>
      <c r="Y471" s="369"/>
      <c r="Z471" s="369"/>
    </row>
    <row r="472" spans="1:26" ht="14.25" customHeight="1">
      <c r="A472" s="369"/>
      <c r="B472" s="369"/>
      <c r="C472" s="369"/>
      <c r="D472" s="369"/>
      <c r="E472" s="369"/>
      <c r="F472" s="369"/>
      <c r="G472" s="369"/>
      <c r="H472" s="370"/>
      <c r="I472" s="371"/>
      <c r="J472" s="371"/>
      <c r="K472" s="370"/>
      <c r="L472" s="369"/>
      <c r="M472" s="369"/>
      <c r="N472" s="369"/>
      <c r="O472" s="369"/>
      <c r="P472" s="369"/>
      <c r="Q472" s="369"/>
      <c r="R472" s="369"/>
      <c r="S472" s="369"/>
      <c r="T472" s="369"/>
      <c r="U472" s="369"/>
      <c r="V472" s="369"/>
      <c r="W472" s="369"/>
      <c r="X472" s="369"/>
      <c r="Y472" s="369"/>
      <c r="Z472" s="369"/>
    </row>
    <row r="473" spans="1:26" ht="14.25" customHeight="1">
      <c r="A473" s="369"/>
      <c r="B473" s="369"/>
      <c r="C473" s="369"/>
      <c r="D473" s="369"/>
      <c r="E473" s="369"/>
      <c r="F473" s="369"/>
      <c r="G473" s="369"/>
      <c r="H473" s="370"/>
      <c r="I473" s="371"/>
      <c r="J473" s="371"/>
      <c r="K473" s="370"/>
      <c r="L473" s="369"/>
      <c r="M473" s="369"/>
      <c r="N473" s="369"/>
      <c r="O473" s="369"/>
      <c r="P473" s="369"/>
      <c r="Q473" s="369"/>
      <c r="R473" s="369"/>
      <c r="S473" s="369"/>
      <c r="T473" s="369"/>
      <c r="U473" s="369"/>
      <c r="V473" s="369"/>
      <c r="W473" s="369"/>
      <c r="X473" s="369"/>
      <c r="Y473" s="369"/>
      <c r="Z473" s="369"/>
    </row>
    <row r="474" spans="1:26" ht="14.25" customHeight="1">
      <c r="A474" s="369"/>
      <c r="B474" s="369"/>
      <c r="C474" s="369"/>
      <c r="D474" s="369"/>
      <c r="E474" s="369"/>
      <c r="F474" s="369"/>
      <c r="G474" s="369"/>
      <c r="H474" s="370"/>
      <c r="I474" s="371"/>
      <c r="J474" s="371"/>
      <c r="K474" s="370"/>
      <c r="L474" s="369"/>
      <c r="M474" s="369"/>
      <c r="N474" s="369"/>
      <c r="O474" s="369"/>
      <c r="P474" s="369"/>
      <c r="Q474" s="369"/>
      <c r="R474" s="369"/>
      <c r="S474" s="369"/>
      <c r="T474" s="369"/>
      <c r="U474" s="369"/>
      <c r="V474" s="369"/>
      <c r="W474" s="369"/>
      <c r="X474" s="369"/>
      <c r="Y474" s="369"/>
      <c r="Z474" s="369"/>
    </row>
    <row r="475" spans="1:26" ht="14.25" customHeight="1">
      <c r="A475" s="369"/>
      <c r="B475" s="369"/>
      <c r="C475" s="369"/>
      <c r="D475" s="369"/>
      <c r="E475" s="369"/>
      <c r="F475" s="369"/>
      <c r="G475" s="369"/>
      <c r="H475" s="370"/>
      <c r="I475" s="371"/>
      <c r="J475" s="371"/>
      <c r="K475" s="370"/>
      <c r="L475" s="369"/>
      <c r="M475" s="369"/>
      <c r="N475" s="369"/>
      <c r="O475" s="369"/>
      <c r="P475" s="369"/>
      <c r="Q475" s="369"/>
      <c r="R475" s="369"/>
      <c r="S475" s="369"/>
      <c r="T475" s="369"/>
      <c r="U475" s="369"/>
      <c r="V475" s="369"/>
      <c r="W475" s="369"/>
      <c r="X475" s="369"/>
      <c r="Y475" s="369"/>
      <c r="Z475" s="369"/>
    </row>
    <row r="476" spans="1:26" ht="14.25" customHeight="1">
      <c r="A476" s="369"/>
      <c r="B476" s="369"/>
      <c r="C476" s="369"/>
      <c r="D476" s="369"/>
      <c r="E476" s="369"/>
      <c r="F476" s="369"/>
      <c r="G476" s="369"/>
      <c r="H476" s="370"/>
      <c r="I476" s="371"/>
      <c r="J476" s="371"/>
      <c r="K476" s="370"/>
      <c r="L476" s="369"/>
      <c r="M476" s="369"/>
      <c r="N476" s="369"/>
      <c r="O476" s="369"/>
      <c r="P476" s="369"/>
      <c r="Q476" s="369"/>
      <c r="R476" s="369"/>
      <c r="S476" s="369"/>
      <c r="T476" s="369"/>
      <c r="U476" s="369"/>
      <c r="V476" s="369"/>
      <c r="W476" s="369"/>
      <c r="X476" s="369"/>
      <c r="Y476" s="369"/>
      <c r="Z476" s="369"/>
    </row>
    <row r="477" spans="1:26" ht="14.25" customHeight="1">
      <c r="A477" s="369"/>
      <c r="B477" s="369"/>
      <c r="C477" s="369"/>
      <c r="D477" s="369"/>
      <c r="E477" s="369"/>
      <c r="F477" s="369"/>
      <c r="G477" s="369"/>
      <c r="H477" s="370"/>
      <c r="I477" s="371"/>
      <c r="J477" s="371"/>
      <c r="K477" s="370"/>
      <c r="L477" s="369"/>
      <c r="M477" s="369"/>
      <c r="N477" s="369"/>
      <c r="O477" s="369"/>
      <c r="P477" s="369"/>
      <c r="Q477" s="369"/>
      <c r="R477" s="369"/>
      <c r="S477" s="369"/>
      <c r="T477" s="369"/>
      <c r="U477" s="369"/>
      <c r="V477" s="369"/>
      <c r="W477" s="369"/>
      <c r="X477" s="369"/>
      <c r="Y477" s="369"/>
      <c r="Z477" s="369"/>
    </row>
    <row r="478" spans="1:26" ht="14.25" customHeight="1">
      <c r="A478" s="369"/>
      <c r="B478" s="369"/>
      <c r="C478" s="369"/>
      <c r="D478" s="369"/>
      <c r="E478" s="369"/>
      <c r="F478" s="369"/>
      <c r="G478" s="369"/>
      <c r="H478" s="370"/>
      <c r="I478" s="371"/>
      <c r="J478" s="371"/>
      <c r="K478" s="370"/>
      <c r="L478" s="369"/>
      <c r="M478" s="369"/>
      <c r="N478" s="369"/>
      <c r="O478" s="369"/>
      <c r="P478" s="369"/>
      <c r="Q478" s="369"/>
      <c r="R478" s="369"/>
      <c r="S478" s="369"/>
      <c r="T478" s="369"/>
      <c r="U478" s="369"/>
      <c r="V478" s="369"/>
      <c r="W478" s="369"/>
      <c r="X478" s="369"/>
      <c r="Y478" s="369"/>
      <c r="Z478" s="369"/>
    </row>
    <row r="479" spans="1:26" ht="14.25" customHeight="1">
      <c r="A479" s="369"/>
      <c r="B479" s="369"/>
      <c r="C479" s="369"/>
      <c r="D479" s="369"/>
      <c r="E479" s="369"/>
      <c r="F479" s="369"/>
      <c r="G479" s="369"/>
      <c r="H479" s="370"/>
      <c r="I479" s="371"/>
      <c r="J479" s="371"/>
      <c r="K479" s="370"/>
      <c r="L479" s="369"/>
      <c r="M479" s="369"/>
      <c r="N479" s="369"/>
      <c r="O479" s="369"/>
      <c r="P479" s="369"/>
      <c r="Q479" s="369"/>
      <c r="R479" s="369"/>
      <c r="S479" s="369"/>
      <c r="T479" s="369"/>
      <c r="U479" s="369"/>
      <c r="V479" s="369"/>
      <c r="W479" s="369"/>
      <c r="X479" s="369"/>
      <c r="Y479" s="369"/>
      <c r="Z479" s="369"/>
    </row>
    <row r="480" spans="1:26" ht="14.25" customHeight="1">
      <c r="A480" s="369"/>
      <c r="B480" s="369"/>
      <c r="C480" s="369"/>
      <c r="D480" s="369"/>
      <c r="E480" s="369"/>
      <c r="F480" s="369"/>
      <c r="G480" s="369"/>
      <c r="H480" s="370"/>
      <c r="I480" s="371"/>
      <c r="J480" s="371"/>
      <c r="K480" s="370"/>
      <c r="L480" s="369"/>
      <c r="M480" s="369"/>
      <c r="N480" s="369"/>
      <c r="O480" s="369"/>
      <c r="P480" s="369"/>
      <c r="Q480" s="369"/>
      <c r="R480" s="369"/>
      <c r="S480" s="369"/>
      <c r="T480" s="369"/>
      <c r="U480" s="369"/>
      <c r="V480" s="369"/>
      <c r="W480" s="369"/>
      <c r="X480" s="369"/>
      <c r="Y480" s="369"/>
      <c r="Z480" s="369"/>
    </row>
    <row r="481" spans="1:26" ht="14.25" customHeight="1">
      <c r="A481" s="369"/>
      <c r="B481" s="369"/>
      <c r="C481" s="369"/>
      <c r="D481" s="369"/>
      <c r="E481" s="369"/>
      <c r="F481" s="369"/>
      <c r="G481" s="369"/>
      <c r="H481" s="370"/>
      <c r="I481" s="371"/>
      <c r="J481" s="371"/>
      <c r="K481" s="370"/>
      <c r="L481" s="369"/>
      <c r="M481" s="369"/>
      <c r="N481" s="369"/>
      <c r="O481" s="369"/>
      <c r="P481" s="369"/>
      <c r="Q481" s="369"/>
      <c r="R481" s="369"/>
      <c r="S481" s="369"/>
      <c r="T481" s="369"/>
      <c r="U481" s="369"/>
      <c r="V481" s="369"/>
      <c r="W481" s="369"/>
      <c r="X481" s="369"/>
      <c r="Y481" s="369"/>
      <c r="Z481" s="369"/>
    </row>
    <row r="482" spans="1:26" ht="14.25" customHeight="1">
      <c r="A482" s="369"/>
      <c r="B482" s="369"/>
      <c r="C482" s="369"/>
      <c r="D482" s="369"/>
      <c r="E482" s="369"/>
      <c r="F482" s="369"/>
      <c r="G482" s="369"/>
      <c r="H482" s="370"/>
      <c r="I482" s="371"/>
      <c r="J482" s="371"/>
      <c r="K482" s="370"/>
      <c r="L482" s="369"/>
      <c r="M482" s="369"/>
      <c r="N482" s="369"/>
      <c r="O482" s="369"/>
      <c r="P482" s="369"/>
      <c r="Q482" s="369"/>
      <c r="R482" s="369"/>
      <c r="S482" s="369"/>
      <c r="T482" s="369"/>
      <c r="U482" s="369"/>
      <c r="V482" s="369"/>
      <c r="W482" s="369"/>
      <c r="X482" s="369"/>
      <c r="Y482" s="369"/>
      <c r="Z482" s="369"/>
    </row>
    <row r="483" spans="1:26" ht="14.25" customHeight="1">
      <c r="A483" s="369"/>
      <c r="B483" s="369"/>
      <c r="C483" s="369"/>
      <c r="D483" s="369"/>
      <c r="E483" s="369"/>
      <c r="F483" s="369"/>
      <c r="G483" s="369"/>
      <c r="H483" s="370"/>
      <c r="I483" s="371"/>
      <c r="J483" s="371"/>
      <c r="K483" s="370"/>
      <c r="L483" s="369"/>
      <c r="M483" s="369"/>
      <c r="N483" s="369"/>
      <c r="O483" s="369"/>
      <c r="P483" s="369"/>
      <c r="Q483" s="369"/>
      <c r="R483" s="369"/>
      <c r="S483" s="369"/>
      <c r="T483" s="369"/>
      <c r="U483" s="369"/>
      <c r="V483" s="369"/>
      <c r="W483" s="369"/>
      <c r="X483" s="369"/>
      <c r="Y483" s="369"/>
      <c r="Z483" s="369"/>
    </row>
    <row r="484" spans="1:26" ht="14.25" customHeight="1">
      <c r="A484" s="369"/>
      <c r="B484" s="369"/>
      <c r="C484" s="369"/>
      <c r="D484" s="369"/>
      <c r="E484" s="369"/>
      <c r="F484" s="369"/>
      <c r="G484" s="369"/>
      <c r="H484" s="370"/>
      <c r="I484" s="371"/>
      <c r="J484" s="371"/>
      <c r="K484" s="370"/>
      <c r="L484" s="369"/>
      <c r="M484" s="369"/>
      <c r="N484" s="369"/>
      <c r="O484" s="369"/>
      <c r="P484" s="369"/>
      <c r="Q484" s="369"/>
      <c r="R484" s="369"/>
      <c r="S484" s="369"/>
      <c r="T484" s="369"/>
      <c r="U484" s="369"/>
      <c r="V484" s="369"/>
      <c r="W484" s="369"/>
      <c r="X484" s="369"/>
      <c r="Y484" s="369"/>
      <c r="Z484" s="369"/>
    </row>
    <row r="485" spans="1:26" ht="14.25" customHeight="1">
      <c r="A485" s="369"/>
      <c r="B485" s="369"/>
      <c r="C485" s="369"/>
      <c r="D485" s="369"/>
      <c r="E485" s="369"/>
      <c r="F485" s="369"/>
      <c r="G485" s="369"/>
      <c r="H485" s="370"/>
      <c r="I485" s="371"/>
      <c r="J485" s="371"/>
      <c r="K485" s="370"/>
      <c r="L485" s="369"/>
      <c r="M485" s="369"/>
      <c r="N485" s="369"/>
      <c r="O485" s="369"/>
      <c r="P485" s="369"/>
      <c r="Q485" s="369"/>
      <c r="R485" s="369"/>
      <c r="S485" s="369"/>
      <c r="T485" s="369"/>
      <c r="U485" s="369"/>
      <c r="V485" s="369"/>
      <c r="W485" s="369"/>
      <c r="X485" s="369"/>
      <c r="Y485" s="369"/>
      <c r="Z485" s="369"/>
    </row>
    <row r="486" spans="1:26" ht="14.25" customHeight="1">
      <c r="A486" s="369"/>
      <c r="B486" s="369"/>
      <c r="C486" s="369"/>
      <c r="D486" s="369"/>
      <c r="E486" s="369"/>
      <c r="F486" s="369"/>
      <c r="G486" s="369"/>
      <c r="H486" s="370"/>
      <c r="I486" s="371"/>
      <c r="J486" s="371"/>
      <c r="K486" s="370"/>
      <c r="L486" s="369"/>
      <c r="M486" s="369"/>
      <c r="N486" s="369"/>
      <c r="O486" s="369"/>
      <c r="P486" s="369"/>
      <c r="Q486" s="369"/>
      <c r="R486" s="369"/>
      <c r="S486" s="369"/>
      <c r="T486" s="369"/>
      <c r="U486" s="369"/>
      <c r="V486" s="369"/>
      <c r="W486" s="369"/>
      <c r="X486" s="369"/>
      <c r="Y486" s="369"/>
      <c r="Z486" s="369"/>
    </row>
    <row r="487" spans="1:26" ht="14.25" customHeight="1">
      <c r="A487" s="369"/>
      <c r="B487" s="369"/>
      <c r="C487" s="369"/>
      <c r="D487" s="369"/>
      <c r="E487" s="369"/>
      <c r="F487" s="369"/>
      <c r="G487" s="369"/>
      <c r="H487" s="370"/>
      <c r="I487" s="371"/>
      <c r="J487" s="371"/>
      <c r="K487" s="370"/>
      <c r="L487" s="369"/>
      <c r="M487" s="369"/>
      <c r="N487" s="369"/>
      <c r="O487" s="369"/>
      <c r="P487" s="369"/>
      <c r="Q487" s="369"/>
      <c r="R487" s="369"/>
      <c r="S487" s="369"/>
      <c r="T487" s="369"/>
      <c r="U487" s="369"/>
      <c r="V487" s="369"/>
      <c r="W487" s="369"/>
      <c r="X487" s="369"/>
      <c r="Y487" s="369"/>
      <c r="Z487" s="369"/>
    </row>
    <row r="488" spans="1:26" ht="14.25" customHeight="1">
      <c r="A488" s="369"/>
      <c r="B488" s="369"/>
      <c r="C488" s="369"/>
      <c r="D488" s="369"/>
      <c r="E488" s="369"/>
      <c r="F488" s="369"/>
      <c r="G488" s="369"/>
      <c r="H488" s="370"/>
      <c r="I488" s="371"/>
      <c r="J488" s="371"/>
      <c r="K488" s="370"/>
      <c r="L488" s="369"/>
      <c r="M488" s="369"/>
      <c r="N488" s="369"/>
      <c r="O488" s="369"/>
      <c r="P488" s="369"/>
      <c r="Q488" s="369"/>
      <c r="R488" s="369"/>
      <c r="S488" s="369"/>
      <c r="T488" s="369"/>
      <c r="U488" s="369"/>
      <c r="V488" s="369"/>
      <c r="W488" s="369"/>
      <c r="X488" s="369"/>
      <c r="Y488" s="369"/>
      <c r="Z488" s="369"/>
    </row>
    <row r="489" spans="1:26" ht="14.25" customHeight="1">
      <c r="A489" s="369"/>
      <c r="B489" s="369"/>
      <c r="C489" s="369"/>
      <c r="D489" s="369"/>
      <c r="E489" s="369"/>
      <c r="F489" s="369"/>
      <c r="G489" s="369"/>
      <c r="H489" s="370"/>
      <c r="I489" s="371"/>
      <c r="J489" s="371"/>
      <c r="K489" s="370"/>
      <c r="L489" s="369"/>
      <c r="M489" s="369"/>
      <c r="N489" s="369"/>
      <c r="O489" s="369"/>
      <c r="P489" s="369"/>
      <c r="Q489" s="369"/>
      <c r="R489" s="369"/>
      <c r="S489" s="369"/>
      <c r="T489" s="369"/>
      <c r="U489" s="369"/>
      <c r="V489" s="369"/>
      <c r="W489" s="369"/>
      <c r="X489" s="369"/>
      <c r="Y489" s="369"/>
      <c r="Z489" s="369"/>
    </row>
    <row r="490" spans="1:26" ht="14.25" customHeight="1">
      <c r="A490" s="369"/>
      <c r="B490" s="369"/>
      <c r="C490" s="369"/>
      <c r="D490" s="369"/>
      <c r="E490" s="369"/>
      <c r="F490" s="369"/>
      <c r="G490" s="369"/>
      <c r="H490" s="370"/>
      <c r="I490" s="371"/>
      <c r="J490" s="371"/>
      <c r="K490" s="370"/>
      <c r="L490" s="369"/>
      <c r="M490" s="369"/>
      <c r="N490" s="369"/>
      <c r="O490" s="369"/>
      <c r="P490" s="369"/>
      <c r="Q490" s="369"/>
      <c r="R490" s="369"/>
      <c r="S490" s="369"/>
      <c r="T490" s="369"/>
      <c r="U490" s="369"/>
      <c r="V490" s="369"/>
      <c r="W490" s="369"/>
      <c r="X490" s="369"/>
      <c r="Y490" s="369"/>
      <c r="Z490" s="369"/>
    </row>
    <row r="491" spans="1:26" ht="14.25" customHeight="1">
      <c r="A491" s="369"/>
      <c r="B491" s="369"/>
      <c r="C491" s="369"/>
      <c r="D491" s="369"/>
      <c r="E491" s="369"/>
      <c r="F491" s="369"/>
      <c r="G491" s="369"/>
      <c r="H491" s="370"/>
      <c r="I491" s="371"/>
      <c r="J491" s="371"/>
      <c r="K491" s="370"/>
      <c r="L491" s="369"/>
      <c r="M491" s="369"/>
      <c r="N491" s="369"/>
      <c r="O491" s="369"/>
      <c r="P491" s="369"/>
      <c r="Q491" s="369"/>
      <c r="R491" s="369"/>
      <c r="S491" s="369"/>
      <c r="T491" s="369"/>
      <c r="U491" s="369"/>
      <c r="V491" s="369"/>
      <c r="W491" s="369"/>
      <c r="X491" s="369"/>
      <c r="Y491" s="369"/>
      <c r="Z491" s="369"/>
    </row>
    <row r="492" spans="1:26" ht="14.25" customHeight="1">
      <c r="A492" s="369"/>
      <c r="B492" s="369"/>
      <c r="C492" s="369"/>
      <c r="D492" s="369"/>
      <c r="E492" s="369"/>
      <c r="F492" s="369"/>
      <c r="G492" s="369"/>
      <c r="H492" s="370"/>
      <c r="I492" s="371"/>
      <c r="J492" s="371"/>
      <c r="K492" s="370"/>
      <c r="L492" s="369"/>
      <c r="M492" s="369"/>
      <c r="N492" s="369"/>
      <c r="O492" s="369"/>
      <c r="P492" s="369"/>
      <c r="Q492" s="369"/>
      <c r="R492" s="369"/>
      <c r="S492" s="369"/>
      <c r="T492" s="369"/>
      <c r="U492" s="369"/>
      <c r="V492" s="369"/>
      <c r="W492" s="369"/>
      <c r="X492" s="369"/>
      <c r="Y492" s="369"/>
      <c r="Z492" s="369"/>
    </row>
    <row r="493" spans="1:26" ht="14.25" customHeight="1">
      <c r="A493" s="369"/>
      <c r="B493" s="369"/>
      <c r="C493" s="369"/>
      <c r="D493" s="369"/>
      <c r="E493" s="369"/>
      <c r="F493" s="369"/>
      <c r="G493" s="369"/>
      <c r="H493" s="370"/>
      <c r="I493" s="371"/>
      <c r="J493" s="371"/>
      <c r="K493" s="370"/>
      <c r="L493" s="369"/>
      <c r="M493" s="369"/>
      <c r="N493" s="369"/>
      <c r="O493" s="369"/>
      <c r="P493" s="369"/>
      <c r="Q493" s="369"/>
      <c r="R493" s="369"/>
      <c r="S493" s="369"/>
      <c r="T493" s="369"/>
      <c r="U493" s="369"/>
      <c r="V493" s="369"/>
      <c r="W493" s="369"/>
      <c r="X493" s="369"/>
      <c r="Y493" s="369"/>
      <c r="Z493" s="369"/>
    </row>
    <row r="494" spans="1:26" ht="14.25" customHeight="1">
      <c r="A494" s="369"/>
      <c r="B494" s="369"/>
      <c r="C494" s="369"/>
      <c r="D494" s="369"/>
      <c r="E494" s="369"/>
      <c r="F494" s="369"/>
      <c r="G494" s="369"/>
      <c r="H494" s="370"/>
      <c r="I494" s="371"/>
      <c r="J494" s="371"/>
      <c r="K494" s="370"/>
      <c r="L494" s="369"/>
      <c r="M494" s="369"/>
      <c r="N494" s="369"/>
      <c r="O494" s="369"/>
      <c r="P494" s="369"/>
      <c r="Q494" s="369"/>
      <c r="R494" s="369"/>
      <c r="S494" s="369"/>
      <c r="T494" s="369"/>
      <c r="U494" s="369"/>
      <c r="V494" s="369"/>
      <c r="W494" s="369"/>
      <c r="X494" s="369"/>
      <c r="Y494" s="369"/>
      <c r="Z494" s="369"/>
    </row>
    <row r="495" spans="1:26" ht="14.25" customHeight="1">
      <c r="A495" s="369"/>
      <c r="B495" s="369"/>
      <c r="C495" s="369"/>
      <c r="D495" s="369"/>
      <c r="E495" s="369"/>
      <c r="F495" s="369"/>
      <c r="G495" s="369"/>
      <c r="H495" s="370"/>
      <c r="I495" s="371"/>
      <c r="J495" s="371"/>
      <c r="K495" s="370"/>
      <c r="L495" s="369"/>
      <c r="M495" s="369"/>
      <c r="N495" s="369"/>
      <c r="O495" s="369"/>
      <c r="P495" s="369"/>
      <c r="Q495" s="369"/>
      <c r="R495" s="369"/>
      <c r="S495" s="369"/>
      <c r="T495" s="369"/>
      <c r="U495" s="369"/>
      <c r="V495" s="369"/>
      <c r="W495" s="369"/>
      <c r="X495" s="369"/>
      <c r="Y495" s="369"/>
      <c r="Z495" s="369"/>
    </row>
    <row r="496" spans="1:26" ht="14.25" customHeight="1">
      <c r="A496" s="369"/>
      <c r="B496" s="369"/>
      <c r="C496" s="369"/>
      <c r="D496" s="369"/>
      <c r="E496" s="369"/>
      <c r="F496" s="369"/>
      <c r="G496" s="369"/>
      <c r="H496" s="370"/>
      <c r="I496" s="371"/>
      <c r="J496" s="371"/>
      <c r="K496" s="370"/>
      <c r="L496" s="369"/>
      <c r="M496" s="369"/>
      <c r="N496" s="369"/>
      <c r="O496" s="369"/>
      <c r="P496" s="369"/>
      <c r="Q496" s="369"/>
      <c r="R496" s="369"/>
      <c r="S496" s="369"/>
      <c r="T496" s="369"/>
      <c r="U496" s="369"/>
      <c r="V496" s="369"/>
      <c r="W496" s="369"/>
      <c r="X496" s="369"/>
      <c r="Y496" s="369"/>
      <c r="Z496" s="369"/>
    </row>
    <row r="497" spans="1:26" ht="14.25" customHeight="1">
      <c r="A497" s="369"/>
      <c r="B497" s="369"/>
      <c r="C497" s="369"/>
      <c r="D497" s="369"/>
      <c r="E497" s="369"/>
      <c r="F497" s="369"/>
      <c r="G497" s="369"/>
      <c r="H497" s="370"/>
      <c r="I497" s="371"/>
      <c r="J497" s="371"/>
      <c r="K497" s="370"/>
      <c r="L497" s="369"/>
      <c r="M497" s="369"/>
      <c r="N497" s="369"/>
      <c r="O497" s="369"/>
      <c r="P497" s="369"/>
      <c r="Q497" s="369"/>
      <c r="R497" s="369"/>
      <c r="S497" s="369"/>
      <c r="T497" s="369"/>
      <c r="U497" s="369"/>
      <c r="V497" s="369"/>
      <c r="W497" s="369"/>
      <c r="X497" s="369"/>
      <c r="Y497" s="369"/>
      <c r="Z497" s="369"/>
    </row>
    <row r="498" spans="1:26" ht="14.25" customHeight="1">
      <c r="A498" s="369"/>
      <c r="B498" s="369"/>
      <c r="C498" s="369"/>
      <c r="D498" s="369"/>
      <c r="E498" s="369"/>
      <c r="F498" s="369"/>
      <c r="G498" s="369"/>
      <c r="H498" s="370"/>
      <c r="I498" s="371"/>
      <c r="J498" s="371"/>
      <c r="K498" s="370"/>
      <c r="L498" s="369"/>
      <c r="M498" s="369"/>
      <c r="N498" s="369"/>
      <c r="O498" s="369"/>
      <c r="P498" s="369"/>
      <c r="Q498" s="369"/>
      <c r="R498" s="369"/>
      <c r="S498" s="369"/>
      <c r="T498" s="369"/>
      <c r="U498" s="369"/>
      <c r="V498" s="369"/>
      <c r="W498" s="369"/>
      <c r="X498" s="369"/>
      <c r="Y498" s="369"/>
      <c r="Z498" s="369"/>
    </row>
    <row r="499" spans="1:26" ht="14.25" customHeight="1">
      <c r="A499" s="369"/>
      <c r="B499" s="369"/>
      <c r="C499" s="369"/>
      <c r="D499" s="369"/>
      <c r="E499" s="369"/>
      <c r="F499" s="369"/>
      <c r="G499" s="369"/>
      <c r="H499" s="370"/>
      <c r="I499" s="371"/>
      <c r="J499" s="371"/>
      <c r="K499" s="370"/>
      <c r="L499" s="369"/>
      <c r="M499" s="369"/>
      <c r="N499" s="369"/>
      <c r="O499" s="369"/>
      <c r="P499" s="369"/>
      <c r="Q499" s="369"/>
      <c r="R499" s="369"/>
      <c r="S499" s="369"/>
      <c r="T499" s="369"/>
      <c r="U499" s="369"/>
      <c r="V499" s="369"/>
      <c r="W499" s="369"/>
      <c r="X499" s="369"/>
      <c r="Y499" s="369"/>
      <c r="Z499" s="369"/>
    </row>
    <row r="500" spans="1:26" ht="14.25" customHeight="1">
      <c r="A500" s="369"/>
      <c r="B500" s="369"/>
      <c r="C500" s="369"/>
      <c r="D500" s="369"/>
      <c r="E500" s="369"/>
      <c r="F500" s="369"/>
      <c r="G500" s="369"/>
      <c r="H500" s="370"/>
      <c r="I500" s="371"/>
      <c r="J500" s="371"/>
      <c r="K500" s="370"/>
      <c r="L500" s="369"/>
      <c r="M500" s="369"/>
      <c r="N500" s="369"/>
      <c r="O500" s="369"/>
      <c r="P500" s="369"/>
      <c r="Q500" s="369"/>
      <c r="R500" s="369"/>
      <c r="S500" s="369"/>
      <c r="T500" s="369"/>
      <c r="U500" s="369"/>
      <c r="V500" s="369"/>
      <c r="W500" s="369"/>
      <c r="X500" s="369"/>
      <c r="Y500" s="369"/>
      <c r="Z500" s="369"/>
    </row>
    <row r="501" spans="1:26" ht="14.25" customHeight="1">
      <c r="A501" s="369"/>
      <c r="B501" s="369"/>
      <c r="C501" s="369"/>
      <c r="D501" s="369"/>
      <c r="E501" s="369"/>
      <c r="F501" s="369"/>
      <c r="G501" s="369"/>
      <c r="H501" s="370"/>
      <c r="I501" s="371"/>
      <c r="J501" s="371"/>
      <c r="K501" s="370"/>
      <c r="L501" s="369"/>
      <c r="M501" s="369"/>
      <c r="N501" s="369"/>
      <c r="O501" s="369"/>
      <c r="P501" s="369"/>
      <c r="Q501" s="369"/>
      <c r="R501" s="369"/>
      <c r="S501" s="369"/>
      <c r="T501" s="369"/>
      <c r="U501" s="369"/>
      <c r="V501" s="369"/>
      <c r="W501" s="369"/>
      <c r="X501" s="369"/>
      <c r="Y501" s="369"/>
      <c r="Z501" s="369"/>
    </row>
    <row r="502" spans="1:26" ht="14.25" customHeight="1">
      <c r="A502" s="369"/>
      <c r="B502" s="369"/>
      <c r="C502" s="369"/>
      <c r="D502" s="369"/>
      <c r="E502" s="369"/>
      <c r="F502" s="369"/>
      <c r="G502" s="369"/>
      <c r="H502" s="370"/>
      <c r="I502" s="371"/>
      <c r="J502" s="371"/>
      <c r="K502" s="370"/>
      <c r="L502" s="369"/>
      <c r="M502" s="369"/>
      <c r="N502" s="369"/>
      <c r="O502" s="369"/>
      <c r="P502" s="369"/>
      <c r="Q502" s="369"/>
      <c r="R502" s="369"/>
      <c r="S502" s="369"/>
      <c r="T502" s="369"/>
      <c r="U502" s="369"/>
      <c r="V502" s="369"/>
      <c r="W502" s="369"/>
      <c r="X502" s="369"/>
      <c r="Y502" s="369"/>
      <c r="Z502" s="369"/>
    </row>
    <row r="503" spans="1:26" ht="14.25" customHeight="1">
      <c r="A503" s="369"/>
      <c r="B503" s="369"/>
      <c r="C503" s="369"/>
      <c r="D503" s="369"/>
      <c r="E503" s="369"/>
      <c r="F503" s="369"/>
      <c r="G503" s="369"/>
      <c r="H503" s="370"/>
      <c r="I503" s="371"/>
      <c r="J503" s="371"/>
      <c r="K503" s="370"/>
      <c r="L503" s="369"/>
      <c r="M503" s="369"/>
      <c r="N503" s="369"/>
      <c r="O503" s="369"/>
      <c r="P503" s="369"/>
      <c r="Q503" s="369"/>
      <c r="R503" s="369"/>
      <c r="S503" s="369"/>
      <c r="T503" s="369"/>
      <c r="U503" s="369"/>
      <c r="V503" s="369"/>
      <c r="W503" s="369"/>
      <c r="X503" s="369"/>
      <c r="Y503" s="369"/>
      <c r="Z503" s="369"/>
    </row>
    <row r="504" spans="1:26" ht="14.25" customHeight="1">
      <c r="A504" s="369"/>
      <c r="B504" s="369"/>
      <c r="C504" s="369"/>
      <c r="D504" s="369"/>
      <c r="E504" s="369"/>
      <c r="F504" s="369"/>
      <c r="G504" s="369"/>
      <c r="H504" s="370"/>
      <c r="I504" s="371"/>
      <c r="J504" s="371"/>
      <c r="K504" s="370"/>
      <c r="L504" s="369"/>
      <c r="M504" s="369"/>
      <c r="N504" s="369"/>
      <c r="O504" s="369"/>
      <c r="P504" s="369"/>
      <c r="Q504" s="369"/>
      <c r="R504" s="369"/>
      <c r="S504" s="369"/>
      <c r="T504" s="369"/>
      <c r="U504" s="369"/>
      <c r="V504" s="369"/>
      <c r="W504" s="369"/>
      <c r="X504" s="369"/>
      <c r="Y504" s="369"/>
      <c r="Z504" s="369"/>
    </row>
    <row r="505" spans="1:26" ht="14.25" customHeight="1">
      <c r="A505" s="369"/>
      <c r="B505" s="369"/>
      <c r="C505" s="369"/>
      <c r="D505" s="369"/>
      <c r="E505" s="369"/>
      <c r="F505" s="369"/>
      <c r="G505" s="369"/>
      <c r="H505" s="370"/>
      <c r="I505" s="371"/>
      <c r="J505" s="371"/>
      <c r="K505" s="370"/>
      <c r="L505" s="369"/>
      <c r="M505" s="369"/>
      <c r="N505" s="369"/>
      <c r="O505" s="369"/>
      <c r="P505" s="369"/>
      <c r="Q505" s="369"/>
      <c r="R505" s="369"/>
      <c r="S505" s="369"/>
      <c r="T505" s="369"/>
      <c r="U505" s="369"/>
      <c r="V505" s="369"/>
      <c r="W505" s="369"/>
      <c r="X505" s="369"/>
      <c r="Y505" s="369"/>
      <c r="Z505" s="369"/>
    </row>
    <row r="506" spans="1:26" ht="14.25" customHeight="1">
      <c r="A506" s="369"/>
      <c r="B506" s="369"/>
      <c r="C506" s="369"/>
      <c r="D506" s="369"/>
      <c r="E506" s="369"/>
      <c r="F506" s="369"/>
      <c r="G506" s="369"/>
      <c r="H506" s="370"/>
      <c r="I506" s="371"/>
      <c r="J506" s="371"/>
      <c r="K506" s="370"/>
      <c r="L506" s="369"/>
      <c r="M506" s="369"/>
      <c r="N506" s="369"/>
      <c r="O506" s="369"/>
      <c r="P506" s="369"/>
      <c r="Q506" s="369"/>
      <c r="R506" s="369"/>
      <c r="S506" s="369"/>
      <c r="T506" s="369"/>
      <c r="U506" s="369"/>
      <c r="V506" s="369"/>
      <c r="W506" s="369"/>
      <c r="X506" s="369"/>
      <c r="Y506" s="369"/>
      <c r="Z506" s="369"/>
    </row>
    <row r="507" spans="1:26" ht="14.25" customHeight="1">
      <c r="A507" s="369"/>
      <c r="B507" s="369"/>
      <c r="C507" s="369"/>
      <c r="D507" s="369"/>
      <c r="E507" s="369"/>
      <c r="F507" s="369"/>
      <c r="G507" s="369"/>
      <c r="H507" s="370"/>
      <c r="I507" s="371"/>
      <c r="J507" s="371"/>
      <c r="K507" s="370"/>
      <c r="L507" s="369"/>
      <c r="M507" s="369"/>
      <c r="N507" s="369"/>
      <c r="O507" s="369"/>
      <c r="P507" s="369"/>
      <c r="Q507" s="369"/>
      <c r="R507" s="369"/>
      <c r="S507" s="369"/>
      <c r="T507" s="369"/>
      <c r="U507" s="369"/>
      <c r="V507" s="369"/>
      <c r="W507" s="369"/>
      <c r="X507" s="369"/>
      <c r="Y507" s="369"/>
      <c r="Z507" s="369"/>
    </row>
    <row r="508" spans="1:26" ht="14.25" customHeight="1">
      <c r="A508" s="369"/>
      <c r="B508" s="369"/>
      <c r="C508" s="369"/>
      <c r="D508" s="369"/>
      <c r="E508" s="369"/>
      <c r="F508" s="369"/>
      <c r="G508" s="369"/>
      <c r="H508" s="370"/>
      <c r="I508" s="371"/>
      <c r="J508" s="371"/>
      <c r="K508" s="370"/>
      <c r="L508" s="369"/>
      <c r="M508" s="369"/>
      <c r="N508" s="369"/>
      <c r="O508" s="369"/>
      <c r="P508" s="369"/>
      <c r="Q508" s="369"/>
      <c r="R508" s="369"/>
      <c r="S508" s="369"/>
      <c r="T508" s="369"/>
      <c r="U508" s="369"/>
      <c r="V508" s="369"/>
      <c r="W508" s="369"/>
      <c r="X508" s="369"/>
      <c r="Y508" s="369"/>
      <c r="Z508" s="369"/>
    </row>
    <row r="509" spans="1:26" ht="14.25" customHeight="1">
      <c r="A509" s="369"/>
      <c r="B509" s="369"/>
      <c r="C509" s="369"/>
      <c r="D509" s="369"/>
      <c r="E509" s="369"/>
      <c r="F509" s="369"/>
      <c r="G509" s="369"/>
      <c r="H509" s="370"/>
      <c r="I509" s="371"/>
      <c r="J509" s="371"/>
      <c r="K509" s="370"/>
      <c r="L509" s="369"/>
      <c r="M509" s="369"/>
      <c r="N509" s="369"/>
      <c r="O509" s="369"/>
      <c r="P509" s="369"/>
      <c r="Q509" s="369"/>
      <c r="R509" s="369"/>
      <c r="S509" s="369"/>
      <c r="T509" s="369"/>
      <c r="U509" s="369"/>
      <c r="V509" s="369"/>
      <c r="W509" s="369"/>
      <c r="X509" s="369"/>
      <c r="Y509" s="369"/>
      <c r="Z509" s="369"/>
    </row>
    <row r="510" spans="1:26" ht="14.25" customHeight="1">
      <c r="A510" s="369"/>
      <c r="B510" s="369"/>
      <c r="C510" s="369"/>
      <c r="D510" s="369"/>
      <c r="E510" s="369"/>
      <c r="F510" s="369"/>
      <c r="G510" s="369"/>
      <c r="H510" s="370"/>
      <c r="I510" s="371"/>
      <c r="J510" s="371"/>
      <c r="K510" s="370"/>
      <c r="L510" s="369"/>
      <c r="M510" s="369"/>
      <c r="N510" s="369"/>
      <c r="O510" s="369"/>
      <c r="P510" s="369"/>
      <c r="Q510" s="369"/>
      <c r="R510" s="369"/>
      <c r="S510" s="369"/>
      <c r="T510" s="369"/>
      <c r="U510" s="369"/>
      <c r="V510" s="369"/>
      <c r="W510" s="369"/>
      <c r="X510" s="369"/>
      <c r="Y510" s="369"/>
      <c r="Z510" s="369"/>
    </row>
    <row r="511" spans="1:26" ht="14.25" customHeight="1">
      <c r="A511" s="369"/>
      <c r="B511" s="369"/>
      <c r="C511" s="369"/>
      <c r="D511" s="369"/>
      <c r="E511" s="369"/>
      <c r="F511" s="369"/>
      <c r="G511" s="369"/>
      <c r="H511" s="370"/>
      <c r="I511" s="371"/>
      <c r="J511" s="371"/>
      <c r="K511" s="370"/>
      <c r="L511" s="369"/>
      <c r="M511" s="369"/>
      <c r="N511" s="369"/>
      <c r="O511" s="369"/>
      <c r="P511" s="369"/>
      <c r="Q511" s="369"/>
      <c r="R511" s="369"/>
      <c r="S511" s="369"/>
      <c r="T511" s="369"/>
      <c r="U511" s="369"/>
      <c r="V511" s="369"/>
      <c r="W511" s="369"/>
      <c r="X511" s="369"/>
      <c r="Y511" s="369"/>
      <c r="Z511" s="369"/>
    </row>
    <row r="512" spans="1:26" ht="14.25" customHeight="1">
      <c r="A512" s="369"/>
      <c r="B512" s="369"/>
      <c r="C512" s="369"/>
      <c r="D512" s="369"/>
      <c r="E512" s="369"/>
      <c r="F512" s="369"/>
      <c r="G512" s="369"/>
      <c r="H512" s="370"/>
      <c r="I512" s="371"/>
      <c r="J512" s="371"/>
      <c r="K512" s="370"/>
      <c r="L512" s="369"/>
      <c r="M512" s="369"/>
      <c r="N512" s="369"/>
      <c r="O512" s="369"/>
      <c r="P512" s="369"/>
      <c r="Q512" s="369"/>
      <c r="R512" s="369"/>
      <c r="S512" s="369"/>
      <c r="T512" s="369"/>
      <c r="U512" s="369"/>
      <c r="V512" s="369"/>
      <c r="W512" s="369"/>
      <c r="X512" s="369"/>
      <c r="Y512" s="369"/>
      <c r="Z512" s="369"/>
    </row>
    <row r="513" spans="1:26" ht="14.25" customHeight="1">
      <c r="A513" s="369"/>
      <c r="B513" s="369"/>
      <c r="C513" s="369"/>
      <c r="D513" s="369"/>
      <c r="E513" s="369"/>
      <c r="F513" s="369"/>
      <c r="G513" s="369"/>
      <c r="H513" s="370"/>
      <c r="I513" s="371"/>
      <c r="J513" s="371"/>
      <c r="K513" s="370"/>
      <c r="L513" s="369"/>
      <c r="M513" s="369"/>
      <c r="N513" s="369"/>
      <c r="O513" s="369"/>
      <c r="P513" s="369"/>
      <c r="Q513" s="369"/>
      <c r="R513" s="369"/>
      <c r="S513" s="369"/>
      <c r="T513" s="369"/>
      <c r="U513" s="369"/>
      <c r="V513" s="369"/>
      <c r="W513" s="369"/>
      <c r="X513" s="369"/>
      <c r="Y513" s="369"/>
      <c r="Z513" s="369"/>
    </row>
    <row r="514" spans="1:26" ht="14.25" customHeight="1">
      <c r="A514" s="369"/>
      <c r="B514" s="369"/>
      <c r="C514" s="369"/>
      <c r="D514" s="369"/>
      <c r="E514" s="369"/>
      <c r="F514" s="369"/>
      <c r="G514" s="369"/>
      <c r="H514" s="370"/>
      <c r="I514" s="371"/>
      <c r="J514" s="371"/>
      <c r="K514" s="370"/>
      <c r="L514" s="369"/>
      <c r="M514" s="369"/>
      <c r="N514" s="369"/>
      <c r="O514" s="369"/>
      <c r="P514" s="369"/>
      <c r="Q514" s="369"/>
      <c r="R514" s="369"/>
      <c r="S514" s="369"/>
      <c r="T514" s="369"/>
      <c r="U514" s="369"/>
      <c r="V514" s="369"/>
      <c r="W514" s="369"/>
      <c r="X514" s="369"/>
      <c r="Y514" s="369"/>
      <c r="Z514" s="369"/>
    </row>
    <row r="515" spans="1:26" ht="14.25" customHeight="1">
      <c r="A515" s="369"/>
      <c r="B515" s="369"/>
      <c r="C515" s="369"/>
      <c r="D515" s="369"/>
      <c r="E515" s="369"/>
      <c r="F515" s="369"/>
      <c r="G515" s="369"/>
      <c r="H515" s="370"/>
      <c r="I515" s="371"/>
      <c r="J515" s="371"/>
      <c r="K515" s="370"/>
      <c r="L515" s="369"/>
      <c r="M515" s="369"/>
      <c r="N515" s="369"/>
      <c r="O515" s="369"/>
      <c r="P515" s="369"/>
      <c r="Q515" s="369"/>
      <c r="R515" s="369"/>
      <c r="S515" s="369"/>
      <c r="T515" s="369"/>
      <c r="U515" s="369"/>
      <c r="V515" s="369"/>
      <c r="W515" s="369"/>
      <c r="X515" s="369"/>
      <c r="Y515" s="369"/>
      <c r="Z515" s="369"/>
    </row>
    <row r="516" spans="1:26" ht="14.25" customHeight="1">
      <c r="A516" s="369"/>
      <c r="B516" s="369"/>
      <c r="C516" s="369"/>
      <c r="D516" s="369"/>
      <c r="E516" s="369"/>
      <c r="F516" s="369"/>
      <c r="G516" s="369"/>
      <c r="H516" s="370"/>
      <c r="I516" s="371"/>
      <c r="J516" s="371"/>
      <c r="K516" s="370"/>
      <c r="L516" s="369"/>
      <c r="M516" s="369"/>
      <c r="N516" s="369"/>
      <c r="O516" s="369"/>
      <c r="P516" s="369"/>
      <c r="Q516" s="369"/>
      <c r="R516" s="369"/>
      <c r="S516" s="369"/>
      <c r="T516" s="369"/>
      <c r="U516" s="369"/>
      <c r="V516" s="369"/>
      <c r="W516" s="369"/>
      <c r="X516" s="369"/>
      <c r="Y516" s="369"/>
      <c r="Z516" s="369"/>
    </row>
    <row r="517" spans="1:26" ht="14.25" customHeight="1">
      <c r="A517" s="369"/>
      <c r="B517" s="369"/>
      <c r="C517" s="369"/>
      <c r="D517" s="369"/>
      <c r="E517" s="369"/>
      <c r="F517" s="369"/>
      <c r="G517" s="369"/>
      <c r="H517" s="370"/>
      <c r="I517" s="371"/>
      <c r="J517" s="371"/>
      <c r="K517" s="370"/>
      <c r="L517" s="369"/>
      <c r="M517" s="369"/>
      <c r="N517" s="369"/>
      <c r="O517" s="369"/>
      <c r="P517" s="369"/>
      <c r="Q517" s="369"/>
      <c r="R517" s="369"/>
      <c r="S517" s="369"/>
      <c r="T517" s="369"/>
      <c r="U517" s="369"/>
      <c r="V517" s="369"/>
      <c r="W517" s="369"/>
      <c r="X517" s="369"/>
      <c r="Y517" s="369"/>
      <c r="Z517" s="369"/>
    </row>
    <row r="518" spans="1:26" ht="14.25" customHeight="1">
      <c r="A518" s="369"/>
      <c r="B518" s="369"/>
      <c r="C518" s="369"/>
      <c r="D518" s="369"/>
      <c r="E518" s="369"/>
      <c r="F518" s="369"/>
      <c r="G518" s="369"/>
      <c r="H518" s="370"/>
      <c r="I518" s="371"/>
      <c r="J518" s="371"/>
      <c r="K518" s="370"/>
      <c r="L518" s="369"/>
      <c r="M518" s="369"/>
      <c r="N518" s="369"/>
      <c r="O518" s="369"/>
      <c r="P518" s="369"/>
      <c r="Q518" s="369"/>
      <c r="R518" s="369"/>
      <c r="S518" s="369"/>
      <c r="T518" s="369"/>
      <c r="U518" s="369"/>
      <c r="V518" s="369"/>
      <c r="W518" s="369"/>
      <c r="X518" s="369"/>
      <c r="Y518" s="369"/>
      <c r="Z518" s="369"/>
    </row>
    <row r="519" spans="1:26" ht="14.25" customHeight="1">
      <c r="A519" s="369"/>
      <c r="B519" s="369"/>
      <c r="C519" s="369"/>
      <c r="D519" s="369"/>
      <c r="E519" s="369"/>
      <c r="F519" s="369"/>
      <c r="G519" s="369"/>
      <c r="H519" s="370"/>
      <c r="I519" s="371"/>
      <c r="J519" s="371"/>
      <c r="K519" s="370"/>
      <c r="L519" s="369"/>
      <c r="M519" s="369"/>
      <c r="N519" s="369"/>
      <c r="O519" s="369"/>
      <c r="P519" s="369"/>
      <c r="Q519" s="369"/>
      <c r="R519" s="369"/>
      <c r="S519" s="369"/>
      <c r="T519" s="369"/>
      <c r="U519" s="369"/>
      <c r="V519" s="369"/>
      <c r="W519" s="369"/>
      <c r="X519" s="369"/>
      <c r="Y519" s="369"/>
      <c r="Z519" s="369"/>
    </row>
    <row r="520" spans="1:26" ht="14.25" customHeight="1">
      <c r="A520" s="369"/>
      <c r="B520" s="369"/>
      <c r="C520" s="369"/>
      <c r="D520" s="369"/>
      <c r="E520" s="369"/>
      <c r="F520" s="369"/>
      <c r="G520" s="369"/>
      <c r="H520" s="370"/>
      <c r="I520" s="371"/>
      <c r="J520" s="371"/>
      <c r="K520" s="370"/>
      <c r="L520" s="369"/>
      <c r="M520" s="369"/>
      <c r="N520" s="369"/>
      <c r="O520" s="369"/>
      <c r="P520" s="369"/>
      <c r="Q520" s="369"/>
      <c r="R520" s="369"/>
      <c r="S520" s="369"/>
      <c r="T520" s="369"/>
      <c r="U520" s="369"/>
      <c r="V520" s="369"/>
      <c r="W520" s="369"/>
      <c r="X520" s="369"/>
      <c r="Y520" s="369"/>
      <c r="Z520" s="369"/>
    </row>
    <row r="521" spans="1:26" ht="14.25" customHeight="1">
      <c r="A521" s="369"/>
      <c r="B521" s="369"/>
      <c r="C521" s="369"/>
      <c r="D521" s="369"/>
      <c r="E521" s="369"/>
      <c r="F521" s="369"/>
      <c r="G521" s="369"/>
      <c r="H521" s="370"/>
      <c r="I521" s="371"/>
      <c r="J521" s="371"/>
      <c r="K521" s="370"/>
      <c r="L521" s="369"/>
      <c r="M521" s="369"/>
      <c r="N521" s="369"/>
      <c r="O521" s="369"/>
      <c r="P521" s="369"/>
      <c r="Q521" s="369"/>
      <c r="R521" s="369"/>
      <c r="S521" s="369"/>
      <c r="T521" s="369"/>
      <c r="U521" s="369"/>
      <c r="V521" s="369"/>
      <c r="W521" s="369"/>
      <c r="X521" s="369"/>
      <c r="Y521" s="369"/>
      <c r="Z521" s="369"/>
    </row>
    <row r="522" spans="1:26" ht="14.25" customHeight="1">
      <c r="A522" s="369"/>
      <c r="B522" s="369"/>
      <c r="C522" s="369"/>
      <c r="D522" s="369"/>
      <c r="E522" s="369"/>
      <c r="F522" s="369"/>
      <c r="G522" s="369"/>
      <c r="H522" s="370"/>
      <c r="I522" s="371"/>
      <c r="J522" s="371"/>
      <c r="K522" s="370"/>
      <c r="L522" s="369"/>
      <c r="M522" s="369"/>
      <c r="N522" s="369"/>
      <c r="O522" s="369"/>
      <c r="P522" s="369"/>
      <c r="Q522" s="369"/>
      <c r="R522" s="369"/>
      <c r="S522" s="369"/>
      <c r="T522" s="369"/>
      <c r="U522" s="369"/>
      <c r="V522" s="369"/>
      <c r="W522" s="369"/>
      <c r="X522" s="369"/>
      <c r="Y522" s="369"/>
      <c r="Z522" s="369"/>
    </row>
    <row r="523" spans="1:26" ht="14.25" customHeight="1">
      <c r="A523" s="369"/>
      <c r="B523" s="369"/>
      <c r="C523" s="369"/>
      <c r="D523" s="369"/>
      <c r="E523" s="369"/>
      <c r="F523" s="369"/>
      <c r="G523" s="369"/>
      <c r="H523" s="370"/>
      <c r="I523" s="371"/>
      <c r="J523" s="371"/>
      <c r="K523" s="370"/>
      <c r="L523" s="369"/>
      <c r="M523" s="369"/>
      <c r="N523" s="369"/>
      <c r="O523" s="369"/>
      <c r="P523" s="369"/>
      <c r="Q523" s="369"/>
      <c r="R523" s="369"/>
      <c r="S523" s="369"/>
      <c r="T523" s="369"/>
      <c r="U523" s="369"/>
      <c r="V523" s="369"/>
      <c r="W523" s="369"/>
      <c r="X523" s="369"/>
      <c r="Y523" s="369"/>
      <c r="Z523" s="369"/>
    </row>
    <row r="524" spans="1:26" ht="14.25" customHeight="1">
      <c r="A524" s="369"/>
      <c r="B524" s="369"/>
      <c r="C524" s="369"/>
      <c r="D524" s="369"/>
      <c r="E524" s="369"/>
      <c r="F524" s="369"/>
      <c r="G524" s="369"/>
      <c r="H524" s="370"/>
      <c r="I524" s="371"/>
      <c r="J524" s="371"/>
      <c r="K524" s="370"/>
      <c r="L524" s="369"/>
      <c r="M524" s="369"/>
      <c r="N524" s="369"/>
      <c r="O524" s="369"/>
      <c r="P524" s="369"/>
      <c r="Q524" s="369"/>
      <c r="R524" s="369"/>
      <c r="S524" s="369"/>
      <c r="T524" s="369"/>
      <c r="U524" s="369"/>
      <c r="V524" s="369"/>
      <c r="W524" s="369"/>
      <c r="X524" s="369"/>
      <c r="Y524" s="369"/>
      <c r="Z524" s="369"/>
    </row>
    <row r="525" spans="1:26" ht="14.25" customHeight="1">
      <c r="A525" s="369"/>
      <c r="B525" s="369"/>
      <c r="C525" s="369"/>
      <c r="D525" s="369"/>
      <c r="E525" s="369"/>
      <c r="F525" s="369"/>
      <c r="G525" s="369"/>
      <c r="H525" s="370"/>
      <c r="I525" s="371"/>
      <c r="J525" s="371"/>
      <c r="K525" s="370"/>
      <c r="L525" s="369"/>
      <c r="M525" s="369"/>
      <c r="N525" s="369"/>
      <c r="O525" s="369"/>
      <c r="P525" s="369"/>
      <c r="Q525" s="369"/>
      <c r="R525" s="369"/>
      <c r="S525" s="369"/>
      <c r="T525" s="369"/>
      <c r="U525" s="369"/>
      <c r="V525" s="369"/>
      <c r="W525" s="369"/>
      <c r="X525" s="369"/>
      <c r="Y525" s="369"/>
      <c r="Z525" s="369"/>
    </row>
    <row r="526" spans="1:26" ht="14.25" customHeight="1">
      <c r="A526" s="369"/>
      <c r="B526" s="369"/>
      <c r="C526" s="369"/>
      <c r="D526" s="369"/>
      <c r="E526" s="369"/>
      <c r="F526" s="369"/>
      <c r="G526" s="369"/>
      <c r="H526" s="370"/>
      <c r="I526" s="371"/>
      <c r="J526" s="371"/>
      <c r="K526" s="370"/>
      <c r="L526" s="369"/>
      <c r="M526" s="369"/>
      <c r="N526" s="369"/>
      <c r="O526" s="369"/>
      <c r="P526" s="369"/>
      <c r="Q526" s="369"/>
      <c r="R526" s="369"/>
      <c r="S526" s="369"/>
      <c r="T526" s="369"/>
      <c r="U526" s="369"/>
      <c r="V526" s="369"/>
      <c r="W526" s="369"/>
      <c r="X526" s="369"/>
      <c r="Y526" s="369"/>
      <c r="Z526" s="369"/>
    </row>
    <row r="527" spans="1:26" ht="14.25" customHeight="1">
      <c r="A527" s="369"/>
      <c r="B527" s="369"/>
      <c r="C527" s="369"/>
      <c r="D527" s="369"/>
      <c r="E527" s="369"/>
      <c r="F527" s="369"/>
      <c r="G527" s="369"/>
      <c r="H527" s="370"/>
      <c r="I527" s="371"/>
      <c r="J527" s="371"/>
      <c r="K527" s="370"/>
      <c r="L527" s="369"/>
      <c r="M527" s="369"/>
      <c r="N527" s="369"/>
      <c r="O527" s="369"/>
      <c r="P527" s="369"/>
      <c r="Q527" s="369"/>
      <c r="R527" s="369"/>
      <c r="S527" s="369"/>
      <c r="T527" s="369"/>
      <c r="U527" s="369"/>
      <c r="V527" s="369"/>
      <c r="W527" s="369"/>
      <c r="X527" s="369"/>
      <c r="Y527" s="369"/>
      <c r="Z527" s="369"/>
    </row>
    <row r="528" spans="1:26" ht="14.25" customHeight="1">
      <c r="A528" s="369"/>
      <c r="B528" s="369"/>
      <c r="C528" s="369"/>
      <c r="D528" s="369"/>
      <c r="E528" s="369"/>
      <c r="F528" s="369"/>
      <c r="G528" s="369"/>
      <c r="H528" s="370"/>
      <c r="I528" s="371"/>
      <c r="J528" s="371"/>
      <c r="K528" s="370"/>
      <c r="L528" s="369"/>
      <c r="M528" s="369"/>
      <c r="N528" s="369"/>
      <c r="O528" s="369"/>
      <c r="P528" s="369"/>
      <c r="Q528" s="369"/>
      <c r="R528" s="369"/>
      <c r="S528" s="369"/>
      <c r="T528" s="369"/>
      <c r="U528" s="369"/>
      <c r="V528" s="369"/>
      <c r="W528" s="369"/>
      <c r="X528" s="369"/>
      <c r="Y528" s="369"/>
      <c r="Z528" s="369"/>
    </row>
    <row r="529" spans="1:26" ht="14.25" customHeight="1">
      <c r="A529" s="369"/>
      <c r="B529" s="369"/>
      <c r="C529" s="369"/>
      <c r="D529" s="369"/>
      <c r="E529" s="369"/>
      <c r="F529" s="369"/>
      <c r="G529" s="369"/>
      <c r="H529" s="370"/>
      <c r="I529" s="371"/>
      <c r="J529" s="371"/>
      <c r="K529" s="370"/>
      <c r="L529" s="369"/>
      <c r="M529" s="369"/>
      <c r="N529" s="369"/>
      <c r="O529" s="369"/>
      <c r="P529" s="369"/>
      <c r="Q529" s="369"/>
      <c r="R529" s="369"/>
      <c r="S529" s="369"/>
      <c r="T529" s="369"/>
      <c r="U529" s="369"/>
      <c r="V529" s="369"/>
      <c r="W529" s="369"/>
      <c r="X529" s="369"/>
      <c r="Y529" s="369"/>
      <c r="Z529" s="369"/>
    </row>
    <row r="530" spans="1:26" ht="14.25" customHeight="1">
      <c r="A530" s="369"/>
      <c r="B530" s="369"/>
      <c r="C530" s="369"/>
      <c r="D530" s="369"/>
      <c r="E530" s="369"/>
      <c r="F530" s="369"/>
      <c r="G530" s="369"/>
      <c r="H530" s="370"/>
      <c r="I530" s="371"/>
      <c r="J530" s="371"/>
      <c r="K530" s="370"/>
      <c r="L530" s="369"/>
      <c r="M530" s="369"/>
      <c r="N530" s="369"/>
      <c r="O530" s="369"/>
      <c r="P530" s="369"/>
      <c r="Q530" s="369"/>
      <c r="R530" s="369"/>
      <c r="S530" s="369"/>
      <c r="T530" s="369"/>
      <c r="U530" s="369"/>
      <c r="V530" s="369"/>
      <c r="W530" s="369"/>
      <c r="X530" s="369"/>
      <c r="Y530" s="369"/>
      <c r="Z530" s="369"/>
    </row>
    <row r="531" spans="1:26" ht="14.25" customHeight="1">
      <c r="A531" s="369"/>
      <c r="B531" s="369"/>
      <c r="C531" s="369"/>
      <c r="D531" s="369"/>
      <c r="E531" s="369"/>
      <c r="F531" s="369"/>
      <c r="G531" s="369"/>
      <c r="H531" s="370"/>
      <c r="I531" s="371"/>
      <c r="J531" s="371"/>
      <c r="K531" s="370"/>
      <c r="L531" s="369"/>
      <c r="M531" s="369"/>
      <c r="N531" s="369"/>
      <c r="O531" s="369"/>
      <c r="P531" s="369"/>
      <c r="Q531" s="369"/>
      <c r="R531" s="369"/>
      <c r="S531" s="369"/>
      <c r="T531" s="369"/>
      <c r="U531" s="369"/>
      <c r="V531" s="369"/>
      <c r="W531" s="369"/>
      <c r="X531" s="369"/>
      <c r="Y531" s="369"/>
      <c r="Z531" s="369"/>
    </row>
    <row r="532" spans="1:26" ht="14.25" customHeight="1">
      <c r="A532" s="369"/>
      <c r="B532" s="369"/>
      <c r="C532" s="369"/>
      <c r="D532" s="369"/>
      <c r="E532" s="369"/>
      <c r="F532" s="369"/>
      <c r="G532" s="369"/>
      <c r="H532" s="370"/>
      <c r="I532" s="371"/>
      <c r="J532" s="371"/>
      <c r="K532" s="370"/>
      <c r="L532" s="369"/>
      <c r="M532" s="369"/>
      <c r="N532" s="369"/>
      <c r="O532" s="369"/>
      <c r="P532" s="369"/>
      <c r="Q532" s="369"/>
      <c r="R532" s="369"/>
      <c r="S532" s="369"/>
      <c r="T532" s="369"/>
      <c r="U532" s="369"/>
      <c r="V532" s="369"/>
      <c r="W532" s="369"/>
      <c r="X532" s="369"/>
      <c r="Y532" s="369"/>
      <c r="Z532" s="369"/>
    </row>
    <row r="533" spans="1:26" ht="14.25" customHeight="1">
      <c r="A533" s="369"/>
      <c r="B533" s="369"/>
      <c r="C533" s="369"/>
      <c r="D533" s="369"/>
      <c r="E533" s="369"/>
      <c r="F533" s="369"/>
      <c r="G533" s="369"/>
      <c r="H533" s="370"/>
      <c r="I533" s="371"/>
      <c r="J533" s="371"/>
      <c r="K533" s="370"/>
      <c r="L533" s="369"/>
      <c r="M533" s="369"/>
      <c r="N533" s="369"/>
      <c r="O533" s="369"/>
      <c r="P533" s="369"/>
      <c r="Q533" s="369"/>
      <c r="R533" s="369"/>
      <c r="S533" s="369"/>
      <c r="T533" s="369"/>
      <c r="U533" s="369"/>
      <c r="V533" s="369"/>
      <c r="W533" s="369"/>
      <c r="X533" s="369"/>
      <c r="Y533" s="369"/>
      <c r="Z533" s="369"/>
    </row>
    <row r="534" spans="1:26" ht="14.25" customHeight="1">
      <c r="A534" s="369"/>
      <c r="B534" s="369"/>
      <c r="C534" s="369"/>
      <c r="D534" s="369"/>
      <c r="E534" s="369"/>
      <c r="F534" s="369"/>
      <c r="G534" s="369"/>
      <c r="H534" s="370"/>
      <c r="I534" s="371"/>
      <c r="J534" s="371"/>
      <c r="K534" s="370"/>
      <c r="L534" s="369"/>
      <c r="M534" s="369"/>
      <c r="N534" s="369"/>
      <c r="O534" s="369"/>
      <c r="P534" s="369"/>
      <c r="Q534" s="369"/>
      <c r="R534" s="369"/>
      <c r="S534" s="369"/>
      <c r="T534" s="369"/>
      <c r="U534" s="369"/>
      <c r="V534" s="369"/>
      <c r="W534" s="369"/>
      <c r="X534" s="369"/>
      <c r="Y534" s="369"/>
      <c r="Z534" s="369"/>
    </row>
    <row r="535" spans="1:26" ht="14.25" customHeight="1">
      <c r="A535" s="369"/>
      <c r="B535" s="369"/>
      <c r="C535" s="369"/>
      <c r="D535" s="369"/>
      <c r="E535" s="369"/>
      <c r="F535" s="369"/>
      <c r="G535" s="369"/>
      <c r="H535" s="370"/>
      <c r="I535" s="371"/>
      <c r="J535" s="371"/>
      <c r="K535" s="370"/>
      <c r="L535" s="369"/>
      <c r="M535" s="369"/>
      <c r="N535" s="369"/>
      <c r="O535" s="369"/>
      <c r="P535" s="369"/>
      <c r="Q535" s="369"/>
      <c r="R535" s="369"/>
      <c r="S535" s="369"/>
      <c r="T535" s="369"/>
      <c r="U535" s="369"/>
      <c r="V535" s="369"/>
      <c r="W535" s="369"/>
      <c r="X535" s="369"/>
      <c r="Y535" s="369"/>
      <c r="Z535" s="369"/>
    </row>
    <row r="536" spans="1:26" ht="14.25" customHeight="1">
      <c r="A536" s="369"/>
      <c r="B536" s="369"/>
      <c r="C536" s="369"/>
      <c r="D536" s="369"/>
      <c r="E536" s="369"/>
      <c r="F536" s="369"/>
      <c r="G536" s="369"/>
      <c r="H536" s="370"/>
      <c r="I536" s="371"/>
      <c r="J536" s="371"/>
      <c r="K536" s="370"/>
      <c r="L536" s="369"/>
      <c r="M536" s="369"/>
      <c r="N536" s="369"/>
      <c r="O536" s="369"/>
      <c r="P536" s="369"/>
      <c r="Q536" s="369"/>
      <c r="R536" s="369"/>
      <c r="S536" s="369"/>
      <c r="T536" s="369"/>
      <c r="U536" s="369"/>
      <c r="V536" s="369"/>
      <c r="W536" s="369"/>
      <c r="X536" s="369"/>
      <c r="Y536" s="369"/>
      <c r="Z536" s="369"/>
    </row>
    <row r="537" spans="1:26" ht="14.25" customHeight="1">
      <c r="A537" s="369"/>
      <c r="B537" s="369"/>
      <c r="C537" s="369"/>
      <c r="D537" s="369"/>
      <c r="E537" s="369"/>
      <c r="F537" s="369"/>
      <c r="G537" s="369"/>
      <c r="H537" s="370"/>
      <c r="I537" s="371"/>
      <c r="J537" s="371"/>
      <c r="K537" s="370"/>
      <c r="L537" s="369"/>
      <c r="M537" s="369"/>
      <c r="N537" s="369"/>
      <c r="O537" s="369"/>
      <c r="P537" s="369"/>
      <c r="Q537" s="369"/>
      <c r="R537" s="369"/>
      <c r="S537" s="369"/>
      <c r="T537" s="369"/>
      <c r="U537" s="369"/>
      <c r="V537" s="369"/>
      <c r="W537" s="369"/>
      <c r="X537" s="369"/>
      <c r="Y537" s="369"/>
      <c r="Z537" s="369"/>
    </row>
    <row r="538" spans="1:26" ht="14.25" customHeight="1">
      <c r="A538" s="369"/>
      <c r="B538" s="369"/>
      <c r="C538" s="369"/>
      <c r="D538" s="369"/>
      <c r="E538" s="369"/>
      <c r="F538" s="369"/>
      <c r="G538" s="369"/>
      <c r="H538" s="370"/>
      <c r="I538" s="371"/>
      <c r="J538" s="371"/>
      <c r="K538" s="370"/>
      <c r="L538" s="369"/>
      <c r="M538" s="369"/>
      <c r="N538" s="369"/>
      <c r="O538" s="369"/>
      <c r="P538" s="369"/>
      <c r="Q538" s="369"/>
      <c r="R538" s="369"/>
      <c r="S538" s="369"/>
      <c r="T538" s="369"/>
      <c r="U538" s="369"/>
      <c r="V538" s="369"/>
      <c r="W538" s="369"/>
      <c r="X538" s="369"/>
      <c r="Y538" s="369"/>
      <c r="Z538" s="369"/>
    </row>
    <row r="539" spans="1:26" ht="14.25" customHeight="1">
      <c r="A539" s="369"/>
      <c r="B539" s="369"/>
      <c r="C539" s="369"/>
      <c r="D539" s="369"/>
      <c r="E539" s="369"/>
      <c r="F539" s="369"/>
      <c r="G539" s="369"/>
      <c r="H539" s="370"/>
      <c r="I539" s="371"/>
      <c r="J539" s="371"/>
      <c r="K539" s="370"/>
      <c r="L539" s="369"/>
      <c r="M539" s="369"/>
      <c r="N539" s="369"/>
      <c r="O539" s="369"/>
      <c r="P539" s="369"/>
      <c r="Q539" s="369"/>
      <c r="R539" s="369"/>
      <c r="S539" s="369"/>
      <c r="T539" s="369"/>
      <c r="U539" s="369"/>
      <c r="V539" s="369"/>
      <c r="W539" s="369"/>
      <c r="X539" s="369"/>
      <c r="Y539" s="369"/>
      <c r="Z539" s="369"/>
    </row>
    <row r="540" spans="1:26" ht="14.25" customHeight="1">
      <c r="A540" s="369"/>
      <c r="B540" s="369"/>
      <c r="C540" s="369"/>
      <c r="D540" s="369"/>
      <c r="E540" s="369"/>
      <c r="F540" s="369"/>
      <c r="G540" s="369"/>
      <c r="H540" s="370"/>
      <c r="I540" s="371"/>
      <c r="J540" s="371"/>
      <c r="K540" s="370"/>
      <c r="L540" s="369"/>
      <c r="M540" s="369"/>
      <c r="N540" s="369"/>
      <c r="O540" s="369"/>
      <c r="P540" s="369"/>
      <c r="Q540" s="369"/>
      <c r="R540" s="369"/>
      <c r="S540" s="369"/>
      <c r="T540" s="369"/>
      <c r="U540" s="369"/>
      <c r="V540" s="369"/>
      <c r="W540" s="369"/>
      <c r="X540" s="369"/>
      <c r="Y540" s="369"/>
      <c r="Z540" s="369"/>
    </row>
    <row r="541" spans="1:26" ht="14.25" customHeight="1">
      <c r="A541" s="369"/>
      <c r="B541" s="369"/>
      <c r="C541" s="369"/>
      <c r="D541" s="369"/>
      <c r="E541" s="369"/>
      <c r="F541" s="369"/>
      <c r="G541" s="369"/>
      <c r="H541" s="370"/>
      <c r="I541" s="371"/>
      <c r="J541" s="371"/>
      <c r="K541" s="370"/>
      <c r="L541" s="369"/>
      <c r="M541" s="369"/>
      <c r="N541" s="369"/>
      <c r="O541" s="369"/>
      <c r="P541" s="369"/>
      <c r="Q541" s="369"/>
      <c r="R541" s="369"/>
      <c r="S541" s="369"/>
      <c r="T541" s="369"/>
      <c r="U541" s="369"/>
      <c r="V541" s="369"/>
      <c r="W541" s="369"/>
      <c r="X541" s="369"/>
      <c r="Y541" s="369"/>
      <c r="Z541" s="369"/>
    </row>
    <row r="542" spans="1:26" ht="14.25" customHeight="1">
      <c r="A542" s="369"/>
      <c r="B542" s="369"/>
      <c r="C542" s="369"/>
      <c r="D542" s="369"/>
      <c r="E542" s="369"/>
      <c r="F542" s="369"/>
      <c r="G542" s="369"/>
      <c r="H542" s="370"/>
      <c r="I542" s="371"/>
      <c r="J542" s="371"/>
      <c r="K542" s="370"/>
      <c r="L542" s="369"/>
      <c r="M542" s="369"/>
      <c r="N542" s="369"/>
      <c r="O542" s="369"/>
      <c r="P542" s="369"/>
      <c r="Q542" s="369"/>
      <c r="R542" s="369"/>
      <c r="S542" s="369"/>
      <c r="T542" s="369"/>
      <c r="U542" s="369"/>
      <c r="V542" s="369"/>
      <c r="W542" s="369"/>
      <c r="X542" s="369"/>
      <c r="Y542" s="369"/>
      <c r="Z542" s="369"/>
    </row>
    <row r="543" spans="1:26" ht="14.25" customHeight="1">
      <c r="A543" s="369"/>
      <c r="B543" s="369"/>
      <c r="C543" s="369"/>
      <c r="D543" s="369"/>
      <c r="E543" s="369"/>
      <c r="F543" s="369"/>
      <c r="G543" s="369"/>
      <c r="H543" s="370"/>
      <c r="I543" s="371"/>
      <c r="J543" s="371"/>
      <c r="K543" s="370"/>
      <c r="L543" s="369"/>
      <c r="M543" s="369"/>
      <c r="N543" s="369"/>
      <c r="O543" s="369"/>
      <c r="P543" s="369"/>
      <c r="Q543" s="369"/>
      <c r="R543" s="369"/>
      <c r="S543" s="369"/>
      <c r="T543" s="369"/>
      <c r="U543" s="369"/>
      <c r="V543" s="369"/>
      <c r="W543" s="369"/>
      <c r="X543" s="369"/>
      <c r="Y543" s="369"/>
      <c r="Z543" s="369"/>
    </row>
    <row r="544" spans="1:26" ht="14.25" customHeight="1">
      <c r="A544" s="369"/>
      <c r="B544" s="369"/>
      <c r="C544" s="369"/>
      <c r="D544" s="369"/>
      <c r="E544" s="369"/>
      <c r="F544" s="369"/>
      <c r="G544" s="369"/>
      <c r="H544" s="370"/>
      <c r="I544" s="371"/>
      <c r="J544" s="371"/>
      <c r="K544" s="370"/>
      <c r="L544" s="369"/>
      <c r="M544" s="369"/>
      <c r="N544" s="369"/>
      <c r="O544" s="369"/>
      <c r="P544" s="369"/>
      <c r="Q544" s="369"/>
      <c r="R544" s="369"/>
      <c r="S544" s="369"/>
      <c r="T544" s="369"/>
      <c r="U544" s="369"/>
      <c r="V544" s="369"/>
      <c r="W544" s="369"/>
      <c r="X544" s="369"/>
      <c r="Y544" s="369"/>
      <c r="Z544" s="369"/>
    </row>
    <row r="545" spans="1:26" ht="14.25" customHeight="1">
      <c r="A545" s="369"/>
      <c r="B545" s="369"/>
      <c r="C545" s="369"/>
      <c r="D545" s="369"/>
      <c r="E545" s="369"/>
      <c r="F545" s="369"/>
      <c r="G545" s="369"/>
      <c r="H545" s="370"/>
      <c r="I545" s="371"/>
      <c r="J545" s="371"/>
      <c r="K545" s="370"/>
      <c r="L545" s="369"/>
      <c r="M545" s="369"/>
      <c r="N545" s="369"/>
      <c r="O545" s="369"/>
      <c r="P545" s="369"/>
      <c r="Q545" s="369"/>
      <c r="R545" s="369"/>
      <c r="S545" s="369"/>
      <c r="T545" s="369"/>
      <c r="U545" s="369"/>
      <c r="V545" s="369"/>
      <c r="W545" s="369"/>
      <c r="X545" s="369"/>
      <c r="Y545" s="369"/>
      <c r="Z545" s="369"/>
    </row>
    <row r="546" spans="1:26" ht="14.25" customHeight="1">
      <c r="A546" s="369"/>
      <c r="B546" s="369"/>
      <c r="C546" s="369"/>
      <c r="D546" s="369"/>
      <c r="E546" s="369"/>
      <c r="F546" s="369"/>
      <c r="G546" s="369"/>
      <c r="H546" s="370"/>
      <c r="I546" s="371"/>
      <c r="J546" s="371"/>
      <c r="K546" s="370"/>
      <c r="L546" s="369"/>
      <c r="M546" s="369"/>
      <c r="N546" s="369"/>
      <c r="O546" s="369"/>
      <c r="P546" s="369"/>
      <c r="Q546" s="369"/>
      <c r="R546" s="369"/>
      <c r="S546" s="369"/>
      <c r="T546" s="369"/>
      <c r="U546" s="369"/>
      <c r="V546" s="369"/>
      <c r="W546" s="369"/>
      <c r="X546" s="369"/>
      <c r="Y546" s="369"/>
      <c r="Z546" s="369"/>
    </row>
    <row r="547" spans="1:26" ht="14.25" customHeight="1">
      <c r="A547" s="369"/>
      <c r="B547" s="369"/>
      <c r="C547" s="369"/>
      <c r="D547" s="369"/>
      <c r="E547" s="369"/>
      <c r="F547" s="369"/>
      <c r="G547" s="369"/>
      <c r="H547" s="370"/>
      <c r="I547" s="371"/>
      <c r="J547" s="371"/>
      <c r="K547" s="370"/>
      <c r="L547" s="369"/>
      <c r="M547" s="369"/>
      <c r="N547" s="369"/>
      <c r="O547" s="369"/>
      <c r="P547" s="369"/>
      <c r="Q547" s="369"/>
      <c r="R547" s="369"/>
      <c r="S547" s="369"/>
      <c r="T547" s="369"/>
      <c r="U547" s="369"/>
      <c r="V547" s="369"/>
      <c r="W547" s="369"/>
      <c r="X547" s="369"/>
      <c r="Y547" s="369"/>
      <c r="Z547" s="369"/>
    </row>
    <row r="548" spans="1:26" ht="14.25" customHeight="1">
      <c r="A548" s="369"/>
      <c r="B548" s="369"/>
      <c r="C548" s="369"/>
      <c r="D548" s="369"/>
      <c r="E548" s="369"/>
      <c r="F548" s="369"/>
      <c r="G548" s="369"/>
      <c r="H548" s="370"/>
      <c r="I548" s="371"/>
      <c r="J548" s="371"/>
      <c r="K548" s="370"/>
      <c r="L548" s="369"/>
      <c r="M548" s="369"/>
      <c r="N548" s="369"/>
      <c r="O548" s="369"/>
      <c r="P548" s="369"/>
      <c r="Q548" s="369"/>
      <c r="R548" s="369"/>
      <c r="S548" s="369"/>
      <c r="T548" s="369"/>
      <c r="U548" s="369"/>
      <c r="V548" s="369"/>
      <c r="W548" s="369"/>
      <c r="X548" s="369"/>
      <c r="Y548" s="369"/>
      <c r="Z548" s="369"/>
    </row>
    <row r="549" spans="1:26" ht="14.25" customHeight="1">
      <c r="A549" s="369"/>
      <c r="B549" s="369"/>
      <c r="C549" s="369"/>
      <c r="D549" s="369"/>
      <c r="E549" s="369"/>
      <c r="F549" s="369"/>
      <c r="G549" s="369"/>
      <c r="H549" s="370"/>
      <c r="I549" s="371"/>
      <c r="J549" s="371"/>
      <c r="K549" s="370"/>
      <c r="L549" s="369"/>
      <c r="M549" s="369"/>
      <c r="N549" s="369"/>
      <c r="O549" s="369"/>
      <c r="P549" s="369"/>
      <c r="Q549" s="369"/>
      <c r="R549" s="369"/>
      <c r="S549" s="369"/>
      <c r="T549" s="369"/>
      <c r="U549" s="369"/>
      <c r="V549" s="369"/>
      <c r="W549" s="369"/>
      <c r="X549" s="369"/>
      <c r="Y549" s="369"/>
      <c r="Z549" s="369"/>
    </row>
    <row r="550" spans="1:26" ht="14.25" customHeight="1">
      <c r="A550" s="369"/>
      <c r="B550" s="369"/>
      <c r="C550" s="369"/>
      <c r="D550" s="369"/>
      <c r="E550" s="369"/>
      <c r="F550" s="369"/>
      <c r="G550" s="369"/>
      <c r="H550" s="370"/>
      <c r="I550" s="371"/>
      <c r="J550" s="371"/>
      <c r="K550" s="370"/>
      <c r="L550" s="369"/>
      <c r="M550" s="369"/>
      <c r="N550" s="369"/>
      <c r="O550" s="369"/>
      <c r="P550" s="369"/>
      <c r="Q550" s="369"/>
      <c r="R550" s="369"/>
      <c r="S550" s="369"/>
      <c r="T550" s="369"/>
      <c r="U550" s="369"/>
      <c r="V550" s="369"/>
      <c r="W550" s="369"/>
      <c r="X550" s="369"/>
      <c r="Y550" s="369"/>
      <c r="Z550" s="369"/>
    </row>
    <row r="551" spans="1:26" ht="14.25" customHeight="1">
      <c r="A551" s="369"/>
      <c r="B551" s="369"/>
      <c r="C551" s="369"/>
      <c r="D551" s="369"/>
      <c r="E551" s="369"/>
      <c r="F551" s="369"/>
      <c r="G551" s="369"/>
      <c r="H551" s="370"/>
      <c r="I551" s="371"/>
      <c r="J551" s="371"/>
      <c r="K551" s="370"/>
      <c r="L551" s="369"/>
      <c r="M551" s="369"/>
      <c r="N551" s="369"/>
      <c r="O551" s="369"/>
      <c r="P551" s="369"/>
      <c r="Q551" s="369"/>
      <c r="R551" s="369"/>
      <c r="S551" s="369"/>
      <c r="T551" s="369"/>
      <c r="U551" s="369"/>
      <c r="V551" s="369"/>
      <c r="W551" s="369"/>
      <c r="X551" s="369"/>
      <c r="Y551" s="369"/>
      <c r="Z551" s="369"/>
    </row>
    <row r="552" spans="1:26" ht="14.25" customHeight="1">
      <c r="A552" s="369"/>
      <c r="B552" s="369"/>
      <c r="C552" s="369"/>
      <c r="D552" s="369"/>
      <c r="E552" s="369"/>
      <c r="F552" s="369"/>
      <c r="G552" s="369"/>
      <c r="H552" s="370"/>
      <c r="I552" s="371"/>
      <c r="J552" s="371"/>
      <c r="K552" s="370"/>
      <c r="L552" s="369"/>
      <c r="M552" s="369"/>
      <c r="N552" s="369"/>
      <c r="O552" s="369"/>
      <c r="P552" s="369"/>
      <c r="Q552" s="369"/>
      <c r="R552" s="369"/>
      <c r="S552" s="369"/>
      <c r="T552" s="369"/>
      <c r="U552" s="369"/>
      <c r="V552" s="369"/>
      <c r="W552" s="369"/>
      <c r="X552" s="369"/>
      <c r="Y552" s="369"/>
      <c r="Z552" s="369"/>
    </row>
    <row r="553" spans="1:26" ht="14.25" customHeight="1">
      <c r="A553" s="369"/>
      <c r="B553" s="369"/>
      <c r="C553" s="369"/>
      <c r="D553" s="369"/>
      <c r="E553" s="369"/>
      <c r="F553" s="369"/>
      <c r="G553" s="369"/>
      <c r="H553" s="370"/>
      <c r="I553" s="371"/>
      <c r="J553" s="371"/>
      <c r="K553" s="370"/>
      <c r="L553" s="369"/>
      <c r="M553" s="369"/>
      <c r="N553" s="369"/>
      <c r="O553" s="369"/>
      <c r="P553" s="369"/>
      <c r="Q553" s="369"/>
      <c r="R553" s="369"/>
      <c r="S553" s="369"/>
      <c r="T553" s="369"/>
      <c r="U553" s="369"/>
      <c r="V553" s="369"/>
      <c r="W553" s="369"/>
      <c r="X553" s="369"/>
      <c r="Y553" s="369"/>
      <c r="Z553" s="369"/>
    </row>
    <row r="554" spans="1:26" ht="14.25" customHeight="1">
      <c r="A554" s="369"/>
      <c r="B554" s="369"/>
      <c r="C554" s="369"/>
      <c r="D554" s="369"/>
      <c r="E554" s="369"/>
      <c r="F554" s="369"/>
      <c r="G554" s="369"/>
      <c r="H554" s="370"/>
      <c r="I554" s="371"/>
      <c r="J554" s="371"/>
      <c r="K554" s="370"/>
      <c r="L554" s="369"/>
      <c r="M554" s="369"/>
      <c r="N554" s="369"/>
      <c r="O554" s="369"/>
      <c r="P554" s="369"/>
      <c r="Q554" s="369"/>
      <c r="R554" s="369"/>
      <c r="S554" s="369"/>
      <c r="T554" s="369"/>
      <c r="U554" s="369"/>
      <c r="V554" s="369"/>
      <c r="W554" s="369"/>
      <c r="X554" s="369"/>
      <c r="Y554" s="369"/>
      <c r="Z554" s="369"/>
    </row>
    <row r="555" spans="1:26" ht="14.25" customHeight="1">
      <c r="A555" s="369"/>
      <c r="B555" s="369"/>
      <c r="C555" s="369"/>
      <c r="D555" s="369"/>
      <c r="E555" s="369"/>
      <c r="F555" s="369"/>
      <c r="G555" s="369"/>
      <c r="H555" s="370"/>
      <c r="I555" s="371"/>
      <c r="J555" s="371"/>
      <c r="K555" s="370"/>
      <c r="L555" s="369"/>
      <c r="M555" s="369"/>
      <c r="N555" s="369"/>
      <c r="O555" s="369"/>
      <c r="P555" s="369"/>
      <c r="Q555" s="369"/>
      <c r="R555" s="369"/>
      <c r="S555" s="369"/>
      <c r="T555" s="369"/>
      <c r="U555" s="369"/>
      <c r="V555" s="369"/>
      <c r="W555" s="369"/>
      <c r="X555" s="369"/>
      <c r="Y555" s="369"/>
      <c r="Z555" s="369"/>
    </row>
    <row r="556" spans="1:26" ht="14.25" customHeight="1">
      <c r="A556" s="369"/>
      <c r="B556" s="369"/>
      <c r="C556" s="369"/>
      <c r="D556" s="369"/>
      <c r="E556" s="369"/>
      <c r="F556" s="369"/>
      <c r="G556" s="369"/>
      <c r="H556" s="370"/>
      <c r="I556" s="371"/>
      <c r="J556" s="371"/>
      <c r="K556" s="370"/>
      <c r="L556" s="369"/>
      <c r="M556" s="369"/>
      <c r="N556" s="369"/>
      <c r="O556" s="369"/>
      <c r="P556" s="369"/>
      <c r="Q556" s="369"/>
      <c r="R556" s="369"/>
      <c r="S556" s="369"/>
      <c r="T556" s="369"/>
      <c r="U556" s="369"/>
      <c r="V556" s="369"/>
      <c r="W556" s="369"/>
      <c r="X556" s="369"/>
      <c r="Y556" s="369"/>
      <c r="Z556" s="369"/>
    </row>
    <row r="557" spans="1:26" ht="14.25" customHeight="1">
      <c r="A557" s="369"/>
      <c r="B557" s="369"/>
      <c r="C557" s="369"/>
      <c r="D557" s="369"/>
      <c r="E557" s="369"/>
      <c r="F557" s="369"/>
      <c r="G557" s="369"/>
      <c r="H557" s="370"/>
      <c r="I557" s="371"/>
      <c r="J557" s="371"/>
      <c r="K557" s="370"/>
      <c r="L557" s="369"/>
      <c r="M557" s="369"/>
      <c r="N557" s="369"/>
      <c r="O557" s="369"/>
      <c r="P557" s="369"/>
      <c r="Q557" s="369"/>
      <c r="R557" s="369"/>
      <c r="S557" s="369"/>
      <c r="T557" s="369"/>
      <c r="U557" s="369"/>
      <c r="V557" s="369"/>
      <c r="W557" s="369"/>
      <c r="X557" s="369"/>
      <c r="Y557" s="369"/>
      <c r="Z557" s="369"/>
    </row>
    <row r="558" spans="1:26" ht="14.25" customHeight="1">
      <c r="A558" s="369"/>
      <c r="B558" s="369"/>
      <c r="C558" s="369"/>
      <c r="D558" s="369"/>
      <c r="E558" s="369"/>
      <c r="F558" s="369"/>
      <c r="G558" s="369"/>
      <c r="H558" s="370"/>
      <c r="I558" s="371"/>
      <c r="J558" s="371"/>
      <c r="K558" s="370"/>
      <c r="L558" s="369"/>
      <c r="M558" s="369"/>
      <c r="N558" s="369"/>
      <c r="O558" s="369"/>
      <c r="P558" s="369"/>
      <c r="Q558" s="369"/>
      <c r="R558" s="369"/>
      <c r="S558" s="369"/>
      <c r="T558" s="369"/>
      <c r="U558" s="369"/>
      <c r="V558" s="369"/>
      <c r="W558" s="369"/>
      <c r="X558" s="369"/>
      <c r="Y558" s="369"/>
      <c r="Z558" s="369"/>
    </row>
    <row r="559" spans="1:26" ht="14.25" customHeight="1">
      <c r="A559" s="369"/>
      <c r="B559" s="369"/>
      <c r="C559" s="369"/>
      <c r="D559" s="369"/>
      <c r="E559" s="369"/>
      <c r="F559" s="369"/>
      <c r="G559" s="369"/>
      <c r="H559" s="370"/>
      <c r="I559" s="371"/>
      <c r="J559" s="371"/>
      <c r="K559" s="370"/>
      <c r="L559" s="369"/>
      <c r="M559" s="369"/>
      <c r="N559" s="369"/>
      <c r="O559" s="369"/>
      <c r="P559" s="369"/>
      <c r="Q559" s="369"/>
      <c r="R559" s="369"/>
      <c r="S559" s="369"/>
      <c r="T559" s="369"/>
      <c r="U559" s="369"/>
      <c r="V559" s="369"/>
      <c r="W559" s="369"/>
      <c r="X559" s="369"/>
      <c r="Y559" s="369"/>
      <c r="Z559" s="369"/>
    </row>
    <row r="560" spans="1:26" ht="14.25" customHeight="1">
      <c r="A560" s="369"/>
      <c r="B560" s="369"/>
      <c r="C560" s="369"/>
      <c r="D560" s="369"/>
      <c r="E560" s="369"/>
      <c r="F560" s="369"/>
      <c r="G560" s="369"/>
      <c r="H560" s="370"/>
      <c r="I560" s="371"/>
      <c r="J560" s="371"/>
      <c r="K560" s="370"/>
      <c r="L560" s="369"/>
      <c r="M560" s="369"/>
      <c r="N560" s="369"/>
      <c r="O560" s="369"/>
      <c r="P560" s="369"/>
      <c r="Q560" s="369"/>
      <c r="R560" s="369"/>
      <c r="S560" s="369"/>
      <c r="T560" s="369"/>
      <c r="U560" s="369"/>
      <c r="V560" s="369"/>
      <c r="W560" s="369"/>
      <c r="X560" s="369"/>
      <c r="Y560" s="369"/>
      <c r="Z560" s="369"/>
    </row>
    <row r="561" spans="1:26" ht="14.25" customHeight="1">
      <c r="A561" s="369"/>
      <c r="B561" s="369"/>
      <c r="C561" s="369"/>
      <c r="D561" s="369"/>
      <c r="E561" s="369"/>
      <c r="F561" s="369"/>
      <c r="G561" s="369"/>
      <c r="H561" s="370"/>
      <c r="I561" s="371"/>
      <c r="J561" s="371"/>
      <c r="K561" s="370"/>
      <c r="L561" s="369"/>
      <c r="M561" s="369"/>
      <c r="N561" s="369"/>
      <c r="O561" s="369"/>
      <c r="P561" s="369"/>
      <c r="Q561" s="369"/>
      <c r="R561" s="369"/>
      <c r="S561" s="369"/>
      <c r="T561" s="369"/>
      <c r="U561" s="369"/>
      <c r="V561" s="369"/>
      <c r="W561" s="369"/>
      <c r="X561" s="369"/>
      <c r="Y561" s="369"/>
      <c r="Z561" s="369"/>
    </row>
    <row r="562" spans="1:26" ht="14.25" customHeight="1">
      <c r="A562" s="369"/>
      <c r="B562" s="369"/>
      <c r="C562" s="369"/>
      <c r="D562" s="369"/>
      <c r="E562" s="369"/>
      <c r="F562" s="369"/>
      <c r="G562" s="369"/>
      <c r="H562" s="370"/>
      <c r="I562" s="371"/>
      <c r="J562" s="371"/>
      <c r="K562" s="370"/>
      <c r="L562" s="369"/>
      <c r="M562" s="369"/>
      <c r="N562" s="369"/>
      <c r="O562" s="369"/>
      <c r="P562" s="369"/>
      <c r="Q562" s="369"/>
      <c r="R562" s="369"/>
      <c r="S562" s="369"/>
      <c r="T562" s="369"/>
      <c r="U562" s="369"/>
      <c r="V562" s="369"/>
      <c r="W562" s="369"/>
      <c r="X562" s="369"/>
      <c r="Y562" s="369"/>
      <c r="Z562" s="369"/>
    </row>
    <row r="563" spans="1:26" ht="14.25" customHeight="1">
      <c r="A563" s="369"/>
      <c r="B563" s="369"/>
      <c r="C563" s="369"/>
      <c r="D563" s="369"/>
      <c r="E563" s="369"/>
      <c r="F563" s="369"/>
      <c r="G563" s="369"/>
      <c r="H563" s="370"/>
      <c r="I563" s="371"/>
      <c r="J563" s="371"/>
      <c r="K563" s="370"/>
      <c r="L563" s="369"/>
      <c r="M563" s="369"/>
      <c r="N563" s="369"/>
      <c r="O563" s="369"/>
      <c r="P563" s="369"/>
      <c r="Q563" s="369"/>
      <c r="R563" s="369"/>
      <c r="S563" s="369"/>
      <c r="T563" s="369"/>
      <c r="U563" s="369"/>
      <c r="V563" s="369"/>
      <c r="W563" s="369"/>
      <c r="X563" s="369"/>
      <c r="Y563" s="369"/>
      <c r="Z563" s="369"/>
    </row>
    <row r="564" spans="1:26" ht="14.25" customHeight="1">
      <c r="A564" s="369"/>
      <c r="B564" s="369"/>
      <c r="C564" s="369"/>
      <c r="D564" s="369"/>
      <c r="E564" s="369"/>
      <c r="F564" s="369"/>
      <c r="G564" s="369"/>
      <c r="H564" s="370"/>
      <c r="I564" s="371"/>
      <c r="J564" s="371"/>
      <c r="K564" s="370"/>
      <c r="L564" s="369"/>
      <c r="M564" s="369"/>
      <c r="N564" s="369"/>
      <c r="O564" s="369"/>
      <c r="P564" s="369"/>
      <c r="Q564" s="369"/>
      <c r="R564" s="369"/>
      <c r="S564" s="369"/>
      <c r="T564" s="369"/>
      <c r="U564" s="369"/>
      <c r="V564" s="369"/>
      <c r="W564" s="369"/>
      <c r="X564" s="369"/>
      <c r="Y564" s="369"/>
      <c r="Z564" s="369"/>
    </row>
    <row r="565" spans="1:26" ht="14.25" customHeight="1">
      <c r="A565" s="369"/>
      <c r="B565" s="369"/>
      <c r="C565" s="369"/>
      <c r="D565" s="369"/>
      <c r="E565" s="369"/>
      <c r="F565" s="369"/>
      <c r="G565" s="369"/>
      <c r="H565" s="370"/>
      <c r="I565" s="371"/>
      <c r="J565" s="371"/>
      <c r="K565" s="370"/>
      <c r="L565" s="369"/>
      <c r="M565" s="369"/>
      <c r="N565" s="369"/>
      <c r="O565" s="369"/>
      <c r="P565" s="369"/>
      <c r="Q565" s="369"/>
      <c r="R565" s="369"/>
      <c r="S565" s="369"/>
      <c r="T565" s="369"/>
      <c r="U565" s="369"/>
      <c r="V565" s="369"/>
      <c r="W565" s="369"/>
      <c r="X565" s="369"/>
      <c r="Y565" s="369"/>
      <c r="Z565" s="369"/>
    </row>
    <row r="566" spans="1:26" ht="14.25" customHeight="1">
      <c r="A566" s="369"/>
      <c r="B566" s="369"/>
      <c r="C566" s="369"/>
      <c r="D566" s="369"/>
      <c r="E566" s="369"/>
      <c r="F566" s="369"/>
      <c r="G566" s="369"/>
      <c r="H566" s="370"/>
      <c r="I566" s="371"/>
      <c r="J566" s="371"/>
      <c r="K566" s="370"/>
      <c r="L566" s="369"/>
      <c r="M566" s="369"/>
      <c r="N566" s="369"/>
      <c r="O566" s="369"/>
      <c r="P566" s="369"/>
      <c r="Q566" s="369"/>
      <c r="R566" s="369"/>
      <c r="S566" s="369"/>
      <c r="T566" s="369"/>
      <c r="U566" s="369"/>
      <c r="V566" s="369"/>
      <c r="W566" s="369"/>
      <c r="X566" s="369"/>
      <c r="Y566" s="369"/>
      <c r="Z566" s="369"/>
    </row>
    <row r="567" spans="1:26" ht="14.25" customHeight="1">
      <c r="A567" s="369"/>
      <c r="B567" s="369"/>
      <c r="C567" s="369"/>
      <c r="D567" s="369"/>
      <c r="E567" s="369"/>
      <c r="F567" s="369"/>
      <c r="G567" s="369"/>
      <c r="H567" s="370"/>
      <c r="I567" s="371"/>
      <c r="J567" s="371"/>
      <c r="K567" s="370"/>
      <c r="L567" s="369"/>
      <c r="M567" s="369"/>
      <c r="N567" s="369"/>
      <c r="O567" s="369"/>
      <c r="P567" s="369"/>
      <c r="Q567" s="369"/>
      <c r="R567" s="369"/>
      <c r="S567" s="369"/>
      <c r="T567" s="369"/>
      <c r="U567" s="369"/>
      <c r="V567" s="369"/>
      <c r="W567" s="369"/>
      <c r="X567" s="369"/>
      <c r="Y567" s="369"/>
      <c r="Z567" s="369"/>
    </row>
    <row r="568" spans="1:26" ht="14.25" customHeight="1">
      <c r="A568" s="369"/>
      <c r="B568" s="369"/>
      <c r="C568" s="369"/>
      <c r="D568" s="369"/>
      <c r="E568" s="369"/>
      <c r="F568" s="369"/>
      <c r="G568" s="369"/>
      <c r="H568" s="370"/>
      <c r="I568" s="371"/>
      <c r="J568" s="371"/>
      <c r="K568" s="370"/>
      <c r="L568" s="369"/>
      <c r="M568" s="369"/>
      <c r="N568" s="369"/>
      <c r="O568" s="369"/>
      <c r="P568" s="369"/>
      <c r="Q568" s="369"/>
      <c r="R568" s="369"/>
      <c r="S568" s="369"/>
      <c r="T568" s="369"/>
      <c r="U568" s="369"/>
      <c r="V568" s="369"/>
      <c r="W568" s="369"/>
      <c r="X568" s="369"/>
      <c r="Y568" s="369"/>
      <c r="Z568" s="369"/>
    </row>
    <row r="569" spans="1:26" ht="14.25" customHeight="1">
      <c r="A569" s="369"/>
      <c r="B569" s="369"/>
      <c r="C569" s="369"/>
      <c r="D569" s="369"/>
      <c r="E569" s="369"/>
      <c r="F569" s="369"/>
      <c r="G569" s="369"/>
      <c r="H569" s="370"/>
      <c r="I569" s="371"/>
      <c r="J569" s="371"/>
      <c r="K569" s="370"/>
      <c r="L569" s="369"/>
      <c r="M569" s="369"/>
      <c r="N569" s="369"/>
      <c r="O569" s="369"/>
      <c r="P569" s="369"/>
      <c r="Q569" s="369"/>
      <c r="R569" s="369"/>
      <c r="S569" s="369"/>
      <c r="T569" s="369"/>
      <c r="U569" s="369"/>
      <c r="V569" s="369"/>
      <c r="W569" s="369"/>
      <c r="X569" s="369"/>
      <c r="Y569" s="369"/>
      <c r="Z569" s="369"/>
    </row>
    <row r="570" spans="1:26" ht="14.25" customHeight="1">
      <c r="A570" s="369"/>
      <c r="B570" s="369"/>
      <c r="C570" s="369"/>
      <c r="D570" s="369"/>
      <c r="E570" s="369"/>
      <c r="F570" s="369"/>
      <c r="G570" s="369"/>
      <c r="H570" s="370"/>
      <c r="I570" s="371"/>
      <c r="J570" s="371"/>
      <c r="K570" s="370"/>
      <c r="L570" s="369"/>
      <c r="M570" s="369"/>
      <c r="N570" s="369"/>
      <c r="O570" s="369"/>
      <c r="P570" s="369"/>
      <c r="Q570" s="369"/>
      <c r="R570" s="369"/>
      <c r="S570" s="369"/>
      <c r="T570" s="369"/>
      <c r="U570" s="369"/>
      <c r="V570" s="369"/>
      <c r="W570" s="369"/>
      <c r="X570" s="369"/>
      <c r="Y570" s="369"/>
      <c r="Z570" s="369"/>
    </row>
    <row r="571" spans="1:26" ht="14.25" customHeight="1">
      <c r="A571" s="369"/>
      <c r="B571" s="369"/>
      <c r="C571" s="369"/>
      <c r="D571" s="369"/>
      <c r="E571" s="369"/>
      <c r="F571" s="369"/>
      <c r="G571" s="369"/>
      <c r="H571" s="370"/>
      <c r="I571" s="371"/>
      <c r="J571" s="371"/>
      <c r="K571" s="370"/>
      <c r="L571" s="369"/>
      <c r="M571" s="369"/>
      <c r="N571" s="369"/>
      <c r="O571" s="369"/>
      <c r="P571" s="369"/>
      <c r="Q571" s="369"/>
      <c r="R571" s="369"/>
      <c r="S571" s="369"/>
      <c r="T571" s="369"/>
      <c r="U571" s="369"/>
      <c r="V571" s="369"/>
      <c r="W571" s="369"/>
      <c r="X571" s="369"/>
      <c r="Y571" s="369"/>
      <c r="Z571" s="369"/>
    </row>
    <row r="572" spans="1:26" ht="14.25" customHeight="1">
      <c r="A572" s="369"/>
      <c r="B572" s="369"/>
      <c r="C572" s="369"/>
      <c r="D572" s="369"/>
      <c r="E572" s="369"/>
      <c r="F572" s="369"/>
      <c r="G572" s="369"/>
      <c r="H572" s="370"/>
      <c r="I572" s="371"/>
      <c r="J572" s="371"/>
      <c r="K572" s="370"/>
      <c r="L572" s="369"/>
      <c r="M572" s="369"/>
      <c r="N572" s="369"/>
      <c r="O572" s="369"/>
      <c r="P572" s="369"/>
      <c r="Q572" s="369"/>
      <c r="R572" s="369"/>
      <c r="S572" s="369"/>
      <c r="T572" s="369"/>
      <c r="U572" s="369"/>
      <c r="V572" s="369"/>
      <c r="W572" s="369"/>
      <c r="X572" s="369"/>
      <c r="Y572" s="369"/>
      <c r="Z572" s="369"/>
    </row>
    <row r="573" spans="1:26" ht="14.25" customHeight="1">
      <c r="A573" s="369"/>
      <c r="B573" s="369"/>
      <c r="C573" s="369"/>
      <c r="D573" s="369"/>
      <c r="E573" s="369"/>
      <c r="F573" s="369"/>
      <c r="G573" s="369"/>
      <c r="H573" s="370"/>
      <c r="I573" s="371"/>
      <c r="J573" s="371"/>
      <c r="K573" s="370"/>
      <c r="L573" s="369"/>
      <c r="M573" s="369"/>
      <c r="N573" s="369"/>
      <c r="O573" s="369"/>
      <c r="P573" s="369"/>
      <c r="Q573" s="369"/>
      <c r="R573" s="369"/>
      <c r="S573" s="369"/>
      <c r="T573" s="369"/>
      <c r="U573" s="369"/>
      <c r="V573" s="369"/>
      <c r="W573" s="369"/>
      <c r="X573" s="369"/>
      <c r="Y573" s="369"/>
      <c r="Z573" s="369"/>
    </row>
    <row r="574" spans="1:26" ht="14.25" customHeight="1">
      <c r="A574" s="369"/>
      <c r="B574" s="369"/>
      <c r="C574" s="369"/>
      <c r="D574" s="369"/>
      <c r="E574" s="369"/>
      <c r="F574" s="369"/>
      <c r="G574" s="369"/>
      <c r="H574" s="370"/>
      <c r="I574" s="371"/>
      <c r="J574" s="371"/>
      <c r="K574" s="370"/>
      <c r="L574" s="369"/>
      <c r="M574" s="369"/>
      <c r="N574" s="369"/>
      <c r="O574" s="369"/>
      <c r="P574" s="369"/>
      <c r="Q574" s="369"/>
      <c r="R574" s="369"/>
      <c r="S574" s="369"/>
      <c r="T574" s="369"/>
      <c r="U574" s="369"/>
      <c r="V574" s="369"/>
      <c r="W574" s="369"/>
      <c r="X574" s="369"/>
      <c r="Y574" s="369"/>
      <c r="Z574" s="369"/>
    </row>
    <row r="575" spans="1:26" ht="14.25" customHeight="1">
      <c r="A575" s="369"/>
      <c r="B575" s="369"/>
      <c r="C575" s="369"/>
      <c r="D575" s="369"/>
      <c r="E575" s="369"/>
      <c r="F575" s="369"/>
      <c r="G575" s="369"/>
      <c r="H575" s="370"/>
      <c r="I575" s="371"/>
      <c r="J575" s="371"/>
      <c r="K575" s="370"/>
      <c r="L575" s="369"/>
      <c r="M575" s="369"/>
      <c r="N575" s="369"/>
      <c r="O575" s="369"/>
      <c r="P575" s="369"/>
      <c r="Q575" s="369"/>
      <c r="R575" s="369"/>
      <c r="S575" s="369"/>
      <c r="T575" s="369"/>
      <c r="U575" s="369"/>
      <c r="V575" s="369"/>
      <c r="W575" s="369"/>
      <c r="X575" s="369"/>
      <c r="Y575" s="369"/>
      <c r="Z575" s="369"/>
    </row>
    <row r="576" spans="1:26" ht="14.25" customHeight="1">
      <c r="A576" s="369"/>
      <c r="B576" s="369"/>
      <c r="C576" s="369"/>
      <c r="D576" s="369"/>
      <c r="E576" s="369"/>
      <c r="F576" s="369"/>
      <c r="G576" s="369"/>
      <c r="H576" s="370"/>
      <c r="I576" s="371"/>
      <c r="J576" s="371"/>
      <c r="K576" s="370"/>
      <c r="L576" s="369"/>
      <c r="M576" s="369"/>
      <c r="N576" s="369"/>
      <c r="O576" s="369"/>
      <c r="P576" s="369"/>
      <c r="Q576" s="369"/>
      <c r="R576" s="369"/>
      <c r="S576" s="369"/>
      <c r="T576" s="369"/>
      <c r="U576" s="369"/>
      <c r="V576" s="369"/>
      <c r="W576" s="369"/>
      <c r="X576" s="369"/>
      <c r="Y576" s="369"/>
      <c r="Z576" s="369"/>
    </row>
    <row r="577" spans="1:26" ht="14.25" customHeight="1">
      <c r="A577" s="369"/>
      <c r="B577" s="369"/>
      <c r="C577" s="369"/>
      <c r="D577" s="369"/>
      <c r="E577" s="369"/>
      <c r="F577" s="369"/>
      <c r="G577" s="369"/>
      <c r="H577" s="370"/>
      <c r="I577" s="371"/>
      <c r="J577" s="371"/>
      <c r="K577" s="370"/>
      <c r="L577" s="369"/>
      <c r="M577" s="369"/>
      <c r="N577" s="369"/>
      <c r="O577" s="369"/>
      <c r="P577" s="369"/>
      <c r="Q577" s="369"/>
      <c r="R577" s="369"/>
      <c r="S577" s="369"/>
      <c r="T577" s="369"/>
      <c r="U577" s="369"/>
      <c r="V577" s="369"/>
      <c r="W577" s="369"/>
      <c r="X577" s="369"/>
      <c r="Y577" s="369"/>
      <c r="Z577" s="369"/>
    </row>
    <row r="578" spans="1:26" ht="14.25" customHeight="1">
      <c r="A578" s="369"/>
      <c r="B578" s="369"/>
      <c r="C578" s="369"/>
      <c r="D578" s="369"/>
      <c r="E578" s="369"/>
      <c r="F578" s="369"/>
      <c r="G578" s="369"/>
      <c r="H578" s="370"/>
      <c r="I578" s="371"/>
      <c r="J578" s="371"/>
      <c r="K578" s="370"/>
      <c r="L578" s="369"/>
      <c r="M578" s="369"/>
      <c r="N578" s="369"/>
      <c r="O578" s="369"/>
      <c r="P578" s="369"/>
      <c r="Q578" s="369"/>
      <c r="R578" s="369"/>
      <c r="S578" s="369"/>
      <c r="T578" s="369"/>
      <c r="U578" s="369"/>
      <c r="V578" s="369"/>
      <c r="W578" s="369"/>
      <c r="X578" s="369"/>
      <c r="Y578" s="369"/>
      <c r="Z578" s="369"/>
    </row>
    <row r="579" spans="1:26" ht="14.25" customHeight="1">
      <c r="A579" s="369"/>
      <c r="B579" s="369"/>
      <c r="C579" s="369"/>
      <c r="D579" s="369"/>
      <c r="E579" s="369"/>
      <c r="F579" s="369"/>
      <c r="G579" s="369"/>
      <c r="H579" s="370"/>
      <c r="I579" s="371"/>
      <c r="J579" s="371"/>
      <c r="K579" s="370"/>
      <c r="L579" s="369"/>
      <c r="M579" s="369"/>
      <c r="N579" s="369"/>
      <c r="O579" s="369"/>
      <c r="P579" s="369"/>
      <c r="Q579" s="369"/>
      <c r="R579" s="369"/>
      <c r="S579" s="369"/>
      <c r="T579" s="369"/>
      <c r="U579" s="369"/>
      <c r="V579" s="369"/>
      <c r="W579" s="369"/>
      <c r="X579" s="369"/>
      <c r="Y579" s="369"/>
      <c r="Z579" s="369"/>
    </row>
    <row r="580" spans="1:26" ht="14.25" customHeight="1">
      <c r="A580" s="369"/>
      <c r="B580" s="369"/>
      <c r="C580" s="369"/>
      <c r="D580" s="369"/>
      <c r="E580" s="369"/>
      <c r="F580" s="369"/>
      <c r="G580" s="369"/>
      <c r="H580" s="370"/>
      <c r="I580" s="371"/>
      <c r="J580" s="371"/>
      <c r="K580" s="370"/>
      <c r="L580" s="369"/>
      <c r="M580" s="369"/>
      <c r="N580" s="369"/>
      <c r="O580" s="369"/>
      <c r="P580" s="369"/>
      <c r="Q580" s="369"/>
      <c r="R580" s="369"/>
      <c r="S580" s="369"/>
      <c r="T580" s="369"/>
      <c r="U580" s="369"/>
      <c r="V580" s="369"/>
      <c r="W580" s="369"/>
      <c r="X580" s="369"/>
      <c r="Y580" s="369"/>
      <c r="Z580" s="369"/>
    </row>
    <row r="581" spans="1:26" ht="14.25" customHeight="1">
      <c r="A581" s="369"/>
      <c r="B581" s="369"/>
      <c r="C581" s="369"/>
      <c r="D581" s="369"/>
      <c r="E581" s="369"/>
      <c r="F581" s="369"/>
      <c r="G581" s="369"/>
      <c r="H581" s="370"/>
      <c r="I581" s="371"/>
      <c r="J581" s="371"/>
      <c r="K581" s="370"/>
      <c r="L581" s="369"/>
      <c r="M581" s="369"/>
      <c r="N581" s="369"/>
      <c r="O581" s="369"/>
      <c r="P581" s="369"/>
      <c r="Q581" s="369"/>
      <c r="R581" s="369"/>
      <c r="S581" s="369"/>
      <c r="T581" s="369"/>
      <c r="U581" s="369"/>
      <c r="V581" s="369"/>
      <c r="W581" s="369"/>
      <c r="X581" s="369"/>
      <c r="Y581" s="369"/>
      <c r="Z581" s="369"/>
    </row>
    <row r="582" spans="1:26" ht="14.25" customHeight="1">
      <c r="A582" s="369"/>
      <c r="B582" s="369"/>
      <c r="C582" s="369"/>
      <c r="D582" s="369"/>
      <c r="E582" s="369"/>
      <c r="F582" s="369"/>
      <c r="G582" s="369"/>
      <c r="H582" s="370"/>
      <c r="I582" s="371"/>
      <c r="J582" s="371"/>
      <c r="K582" s="370"/>
      <c r="L582" s="369"/>
      <c r="M582" s="369"/>
      <c r="N582" s="369"/>
      <c r="O582" s="369"/>
      <c r="P582" s="369"/>
      <c r="Q582" s="369"/>
      <c r="R582" s="369"/>
      <c r="S582" s="369"/>
      <c r="T582" s="369"/>
      <c r="U582" s="369"/>
      <c r="V582" s="369"/>
      <c r="W582" s="369"/>
      <c r="X582" s="369"/>
      <c r="Y582" s="369"/>
      <c r="Z582" s="369"/>
    </row>
    <row r="583" spans="1:26" ht="14.25" customHeight="1">
      <c r="A583" s="369"/>
      <c r="B583" s="369"/>
      <c r="C583" s="369"/>
      <c r="D583" s="369"/>
      <c r="E583" s="369"/>
      <c r="F583" s="369"/>
      <c r="G583" s="369"/>
      <c r="H583" s="370"/>
      <c r="I583" s="371"/>
      <c r="J583" s="371"/>
      <c r="K583" s="370"/>
      <c r="L583" s="369"/>
      <c r="M583" s="369"/>
      <c r="N583" s="369"/>
      <c r="O583" s="369"/>
      <c r="P583" s="369"/>
      <c r="Q583" s="369"/>
      <c r="R583" s="369"/>
      <c r="S583" s="369"/>
      <c r="T583" s="369"/>
      <c r="U583" s="369"/>
      <c r="V583" s="369"/>
      <c r="W583" s="369"/>
      <c r="X583" s="369"/>
      <c r="Y583" s="369"/>
      <c r="Z583" s="369"/>
    </row>
    <row r="584" spans="1:26" ht="14.25" customHeight="1">
      <c r="A584" s="369"/>
      <c r="B584" s="369"/>
      <c r="C584" s="369"/>
      <c r="D584" s="369"/>
      <c r="E584" s="369"/>
      <c r="F584" s="369"/>
      <c r="G584" s="369"/>
      <c r="H584" s="370"/>
      <c r="I584" s="371"/>
      <c r="J584" s="371"/>
      <c r="K584" s="370"/>
      <c r="L584" s="369"/>
      <c r="M584" s="369"/>
      <c r="N584" s="369"/>
      <c r="O584" s="369"/>
      <c r="P584" s="369"/>
      <c r="Q584" s="369"/>
      <c r="R584" s="369"/>
      <c r="S584" s="369"/>
      <c r="T584" s="369"/>
      <c r="U584" s="369"/>
      <c r="V584" s="369"/>
      <c r="W584" s="369"/>
      <c r="X584" s="369"/>
      <c r="Y584" s="369"/>
      <c r="Z584" s="369"/>
    </row>
    <row r="585" spans="1:26" ht="14.25" customHeight="1">
      <c r="A585" s="369"/>
      <c r="B585" s="369"/>
      <c r="C585" s="369"/>
      <c r="D585" s="369"/>
      <c r="E585" s="369"/>
      <c r="F585" s="369"/>
      <c r="G585" s="369"/>
      <c r="H585" s="370"/>
      <c r="I585" s="371"/>
      <c r="J585" s="371"/>
      <c r="K585" s="370"/>
      <c r="L585" s="369"/>
      <c r="M585" s="369"/>
      <c r="N585" s="369"/>
      <c r="O585" s="369"/>
      <c r="P585" s="369"/>
      <c r="Q585" s="369"/>
      <c r="R585" s="369"/>
      <c r="S585" s="369"/>
      <c r="T585" s="369"/>
      <c r="U585" s="369"/>
      <c r="V585" s="369"/>
      <c r="W585" s="369"/>
      <c r="X585" s="369"/>
      <c r="Y585" s="369"/>
      <c r="Z585" s="369"/>
    </row>
    <row r="586" spans="1:26" ht="14.25" customHeight="1">
      <c r="A586" s="369"/>
      <c r="B586" s="369"/>
      <c r="C586" s="369"/>
      <c r="D586" s="369"/>
      <c r="E586" s="369"/>
      <c r="F586" s="369"/>
      <c r="G586" s="369"/>
      <c r="H586" s="370"/>
      <c r="I586" s="371"/>
      <c r="J586" s="371"/>
      <c r="K586" s="370"/>
      <c r="L586" s="369"/>
      <c r="M586" s="369"/>
      <c r="N586" s="369"/>
      <c r="O586" s="369"/>
      <c r="P586" s="369"/>
      <c r="Q586" s="369"/>
      <c r="R586" s="369"/>
      <c r="S586" s="369"/>
      <c r="T586" s="369"/>
      <c r="U586" s="369"/>
      <c r="V586" s="369"/>
      <c r="W586" s="369"/>
      <c r="X586" s="369"/>
      <c r="Y586" s="369"/>
      <c r="Z586" s="369"/>
    </row>
    <row r="587" spans="1:26" ht="14.25" customHeight="1">
      <c r="A587" s="369"/>
      <c r="B587" s="369"/>
      <c r="C587" s="369"/>
      <c r="D587" s="369"/>
      <c r="E587" s="369"/>
      <c r="F587" s="369"/>
      <c r="G587" s="369"/>
      <c r="H587" s="370"/>
      <c r="I587" s="371"/>
      <c r="J587" s="371"/>
      <c r="K587" s="370"/>
      <c r="L587" s="369"/>
      <c r="M587" s="369"/>
      <c r="N587" s="369"/>
      <c r="O587" s="369"/>
      <c r="P587" s="369"/>
      <c r="Q587" s="369"/>
      <c r="R587" s="369"/>
      <c r="S587" s="369"/>
      <c r="T587" s="369"/>
      <c r="U587" s="369"/>
      <c r="V587" s="369"/>
      <c r="W587" s="369"/>
      <c r="X587" s="369"/>
      <c r="Y587" s="369"/>
      <c r="Z587" s="369"/>
    </row>
    <row r="588" spans="1:26" ht="14.25" customHeight="1">
      <c r="A588" s="369"/>
      <c r="B588" s="369"/>
      <c r="C588" s="369"/>
      <c r="D588" s="369"/>
      <c r="E588" s="369"/>
      <c r="F588" s="369"/>
      <c r="G588" s="369"/>
      <c r="H588" s="370"/>
      <c r="I588" s="371"/>
      <c r="J588" s="371"/>
      <c r="K588" s="370"/>
      <c r="L588" s="369"/>
      <c r="M588" s="369"/>
      <c r="N588" s="369"/>
      <c r="O588" s="369"/>
      <c r="P588" s="369"/>
      <c r="Q588" s="369"/>
      <c r="R588" s="369"/>
      <c r="S588" s="369"/>
      <c r="T588" s="369"/>
      <c r="U588" s="369"/>
      <c r="V588" s="369"/>
      <c r="W588" s="369"/>
      <c r="X588" s="369"/>
      <c r="Y588" s="369"/>
      <c r="Z588" s="369"/>
    </row>
    <row r="589" spans="1:26" ht="14.25" customHeight="1">
      <c r="A589" s="369"/>
      <c r="B589" s="369"/>
      <c r="C589" s="369"/>
      <c r="D589" s="369"/>
      <c r="E589" s="369"/>
      <c r="F589" s="369"/>
      <c r="G589" s="369"/>
      <c r="H589" s="370"/>
      <c r="I589" s="371"/>
      <c r="J589" s="371"/>
      <c r="K589" s="370"/>
      <c r="L589" s="369"/>
      <c r="M589" s="369"/>
      <c r="N589" s="369"/>
      <c r="O589" s="369"/>
      <c r="P589" s="369"/>
      <c r="Q589" s="369"/>
      <c r="R589" s="369"/>
      <c r="S589" s="369"/>
      <c r="T589" s="369"/>
      <c r="U589" s="369"/>
      <c r="V589" s="369"/>
      <c r="W589" s="369"/>
      <c r="X589" s="369"/>
      <c r="Y589" s="369"/>
      <c r="Z589" s="369"/>
    </row>
    <row r="590" spans="1:26" ht="14.25" customHeight="1">
      <c r="A590" s="369"/>
      <c r="B590" s="369"/>
      <c r="C590" s="369"/>
      <c r="D590" s="369"/>
      <c r="E590" s="369"/>
      <c r="F590" s="369"/>
      <c r="G590" s="369"/>
      <c r="H590" s="370"/>
      <c r="I590" s="371"/>
      <c r="J590" s="371"/>
      <c r="K590" s="370"/>
      <c r="L590" s="369"/>
      <c r="M590" s="369"/>
      <c r="N590" s="369"/>
      <c r="O590" s="369"/>
      <c r="P590" s="369"/>
      <c r="Q590" s="369"/>
      <c r="R590" s="369"/>
      <c r="S590" s="369"/>
      <c r="T590" s="369"/>
      <c r="U590" s="369"/>
      <c r="V590" s="369"/>
      <c r="W590" s="369"/>
      <c r="X590" s="369"/>
      <c r="Y590" s="369"/>
      <c r="Z590" s="369"/>
    </row>
    <row r="591" spans="1:26" ht="14.25" customHeight="1">
      <c r="A591" s="369"/>
      <c r="B591" s="369"/>
      <c r="C591" s="369"/>
      <c r="D591" s="369"/>
      <c r="E591" s="369"/>
      <c r="F591" s="369"/>
      <c r="G591" s="369"/>
      <c r="H591" s="370"/>
      <c r="I591" s="371"/>
      <c r="J591" s="371"/>
      <c r="K591" s="370"/>
      <c r="L591" s="369"/>
      <c r="M591" s="369"/>
      <c r="N591" s="369"/>
      <c r="O591" s="369"/>
      <c r="P591" s="369"/>
      <c r="Q591" s="369"/>
      <c r="R591" s="369"/>
      <c r="S591" s="369"/>
      <c r="T591" s="369"/>
      <c r="U591" s="369"/>
      <c r="V591" s="369"/>
      <c r="W591" s="369"/>
      <c r="X591" s="369"/>
      <c r="Y591" s="369"/>
      <c r="Z591" s="369"/>
    </row>
    <row r="592" spans="1:26" ht="14.25" customHeight="1">
      <c r="A592" s="369"/>
      <c r="B592" s="369"/>
      <c r="C592" s="369"/>
      <c r="D592" s="369"/>
      <c r="E592" s="369"/>
      <c r="F592" s="369"/>
      <c r="G592" s="369"/>
      <c r="H592" s="370"/>
      <c r="I592" s="371"/>
      <c r="J592" s="371"/>
      <c r="K592" s="370"/>
      <c r="L592" s="369"/>
      <c r="M592" s="369"/>
      <c r="N592" s="369"/>
      <c r="O592" s="369"/>
      <c r="P592" s="369"/>
      <c r="Q592" s="369"/>
      <c r="R592" s="369"/>
      <c r="S592" s="369"/>
      <c r="T592" s="369"/>
      <c r="U592" s="369"/>
      <c r="V592" s="369"/>
      <c r="W592" s="369"/>
      <c r="X592" s="369"/>
      <c r="Y592" s="369"/>
      <c r="Z592" s="369"/>
    </row>
    <row r="593" spans="1:26" ht="14.25" customHeight="1">
      <c r="A593" s="369"/>
      <c r="B593" s="369"/>
      <c r="C593" s="369"/>
      <c r="D593" s="369"/>
      <c r="E593" s="369"/>
      <c r="F593" s="369"/>
      <c r="G593" s="369"/>
      <c r="H593" s="370"/>
      <c r="I593" s="371"/>
      <c r="J593" s="371"/>
      <c r="K593" s="370"/>
      <c r="L593" s="369"/>
      <c r="M593" s="369"/>
      <c r="N593" s="369"/>
      <c r="O593" s="369"/>
      <c r="P593" s="369"/>
      <c r="Q593" s="369"/>
      <c r="R593" s="369"/>
      <c r="S593" s="369"/>
      <c r="T593" s="369"/>
      <c r="U593" s="369"/>
      <c r="V593" s="369"/>
      <c r="W593" s="369"/>
      <c r="X593" s="369"/>
      <c r="Y593" s="369"/>
      <c r="Z593" s="369"/>
    </row>
    <row r="594" spans="1:26" ht="14.25" customHeight="1">
      <c r="A594" s="369"/>
      <c r="B594" s="369"/>
      <c r="C594" s="369"/>
      <c r="D594" s="369"/>
      <c r="E594" s="369"/>
      <c r="F594" s="369"/>
      <c r="G594" s="369"/>
      <c r="H594" s="370"/>
      <c r="I594" s="371"/>
      <c r="J594" s="371"/>
      <c r="K594" s="370"/>
      <c r="L594" s="369"/>
      <c r="M594" s="369"/>
      <c r="N594" s="369"/>
      <c r="O594" s="369"/>
      <c r="P594" s="369"/>
      <c r="Q594" s="369"/>
      <c r="R594" s="369"/>
      <c r="S594" s="369"/>
      <c r="T594" s="369"/>
      <c r="U594" s="369"/>
      <c r="V594" s="369"/>
      <c r="W594" s="369"/>
      <c r="X594" s="369"/>
      <c r="Y594" s="369"/>
      <c r="Z594" s="369"/>
    </row>
    <row r="595" spans="1:26" ht="14.25" customHeight="1">
      <c r="A595" s="369"/>
      <c r="B595" s="369"/>
      <c r="C595" s="369"/>
      <c r="D595" s="369"/>
      <c r="E595" s="369"/>
      <c r="F595" s="369"/>
      <c r="G595" s="369"/>
      <c r="H595" s="370"/>
      <c r="I595" s="371"/>
      <c r="J595" s="371"/>
      <c r="K595" s="370"/>
      <c r="L595" s="369"/>
      <c r="M595" s="369"/>
      <c r="N595" s="369"/>
      <c r="O595" s="369"/>
      <c r="P595" s="369"/>
      <c r="Q595" s="369"/>
      <c r="R595" s="369"/>
      <c r="S595" s="369"/>
      <c r="T595" s="369"/>
      <c r="U595" s="369"/>
      <c r="V595" s="369"/>
      <c r="W595" s="369"/>
      <c r="X595" s="369"/>
      <c r="Y595" s="369"/>
      <c r="Z595" s="369"/>
    </row>
    <row r="596" spans="1:26" ht="14.25" customHeight="1">
      <c r="A596" s="369"/>
      <c r="B596" s="369"/>
      <c r="C596" s="369"/>
      <c r="D596" s="369"/>
      <c r="E596" s="369"/>
      <c r="F596" s="369"/>
      <c r="G596" s="369"/>
      <c r="H596" s="370"/>
      <c r="I596" s="371"/>
      <c r="J596" s="371"/>
      <c r="K596" s="370"/>
      <c r="L596" s="369"/>
      <c r="M596" s="369"/>
      <c r="N596" s="369"/>
      <c r="O596" s="369"/>
      <c r="P596" s="369"/>
      <c r="Q596" s="369"/>
      <c r="R596" s="369"/>
      <c r="S596" s="369"/>
      <c r="T596" s="369"/>
      <c r="U596" s="369"/>
      <c r="V596" s="369"/>
      <c r="W596" s="369"/>
      <c r="X596" s="369"/>
      <c r="Y596" s="369"/>
      <c r="Z596" s="369"/>
    </row>
    <row r="597" spans="1:26" ht="14.25" customHeight="1">
      <c r="A597" s="369"/>
      <c r="B597" s="369"/>
      <c r="C597" s="369"/>
      <c r="D597" s="369"/>
      <c r="E597" s="369"/>
      <c r="F597" s="369"/>
      <c r="G597" s="369"/>
      <c r="H597" s="370"/>
      <c r="I597" s="371"/>
      <c r="J597" s="371"/>
      <c r="K597" s="370"/>
      <c r="L597" s="369"/>
      <c r="M597" s="369"/>
      <c r="N597" s="369"/>
      <c r="O597" s="369"/>
      <c r="P597" s="369"/>
      <c r="Q597" s="369"/>
      <c r="R597" s="369"/>
      <c r="S597" s="369"/>
      <c r="T597" s="369"/>
      <c r="U597" s="369"/>
      <c r="V597" s="369"/>
      <c r="W597" s="369"/>
      <c r="X597" s="369"/>
      <c r="Y597" s="369"/>
      <c r="Z597" s="369"/>
    </row>
    <row r="598" spans="1:26" ht="14.25" customHeight="1">
      <c r="A598" s="369"/>
      <c r="B598" s="369"/>
      <c r="C598" s="369"/>
      <c r="D598" s="369"/>
      <c r="E598" s="369"/>
      <c r="F598" s="369"/>
      <c r="G598" s="369"/>
      <c r="H598" s="370"/>
      <c r="I598" s="371"/>
      <c r="J598" s="371"/>
      <c r="K598" s="370"/>
      <c r="L598" s="369"/>
      <c r="M598" s="369"/>
      <c r="N598" s="369"/>
      <c r="O598" s="369"/>
      <c r="P598" s="369"/>
      <c r="Q598" s="369"/>
      <c r="R598" s="369"/>
      <c r="S598" s="369"/>
      <c r="T598" s="369"/>
      <c r="U598" s="369"/>
      <c r="V598" s="369"/>
      <c r="W598" s="369"/>
      <c r="X598" s="369"/>
      <c r="Y598" s="369"/>
      <c r="Z598" s="369"/>
    </row>
    <row r="599" spans="1:26" ht="14.25" customHeight="1">
      <c r="A599" s="369"/>
      <c r="B599" s="369"/>
      <c r="C599" s="369"/>
      <c r="D599" s="369"/>
      <c r="E599" s="369"/>
      <c r="F599" s="369"/>
      <c r="G599" s="369"/>
      <c r="H599" s="370"/>
      <c r="I599" s="371"/>
      <c r="J599" s="371"/>
      <c r="K599" s="370"/>
      <c r="L599" s="369"/>
      <c r="M599" s="369"/>
      <c r="N599" s="369"/>
      <c r="O599" s="369"/>
      <c r="P599" s="369"/>
      <c r="Q599" s="369"/>
      <c r="R599" s="369"/>
      <c r="S599" s="369"/>
      <c r="T599" s="369"/>
      <c r="U599" s="369"/>
      <c r="V599" s="369"/>
      <c r="W599" s="369"/>
      <c r="X599" s="369"/>
      <c r="Y599" s="369"/>
      <c r="Z599" s="369"/>
    </row>
    <row r="600" spans="1:26" ht="14.25" customHeight="1">
      <c r="A600" s="369"/>
      <c r="B600" s="369"/>
      <c r="C600" s="369"/>
      <c r="D600" s="369"/>
      <c r="E600" s="369"/>
      <c r="F600" s="369"/>
      <c r="G600" s="369"/>
      <c r="H600" s="370"/>
      <c r="I600" s="371"/>
      <c r="J600" s="371"/>
      <c r="K600" s="370"/>
      <c r="L600" s="369"/>
      <c r="M600" s="369"/>
      <c r="N600" s="369"/>
      <c r="O600" s="369"/>
      <c r="P600" s="369"/>
      <c r="Q600" s="369"/>
      <c r="R600" s="369"/>
      <c r="S600" s="369"/>
      <c r="T600" s="369"/>
      <c r="U600" s="369"/>
      <c r="V600" s="369"/>
      <c r="W600" s="369"/>
      <c r="X600" s="369"/>
      <c r="Y600" s="369"/>
      <c r="Z600" s="369"/>
    </row>
    <row r="601" spans="1:26" ht="14.25" customHeight="1">
      <c r="A601" s="369"/>
      <c r="B601" s="369"/>
      <c r="C601" s="369"/>
      <c r="D601" s="369"/>
      <c r="E601" s="369"/>
      <c r="F601" s="369"/>
      <c r="G601" s="369"/>
      <c r="H601" s="370"/>
      <c r="I601" s="371"/>
      <c r="J601" s="371"/>
      <c r="K601" s="370"/>
      <c r="L601" s="369"/>
      <c r="M601" s="369"/>
      <c r="N601" s="369"/>
      <c r="O601" s="369"/>
      <c r="P601" s="369"/>
      <c r="Q601" s="369"/>
      <c r="R601" s="369"/>
      <c r="S601" s="369"/>
      <c r="T601" s="369"/>
      <c r="U601" s="369"/>
      <c r="V601" s="369"/>
      <c r="W601" s="369"/>
      <c r="X601" s="369"/>
      <c r="Y601" s="369"/>
      <c r="Z601" s="369"/>
    </row>
    <row r="602" spans="1:26" ht="14.25" customHeight="1">
      <c r="A602" s="369"/>
      <c r="B602" s="369"/>
      <c r="C602" s="369"/>
      <c r="D602" s="369"/>
      <c r="E602" s="369"/>
      <c r="F602" s="369"/>
      <c r="G602" s="369"/>
      <c r="H602" s="370"/>
      <c r="I602" s="371"/>
      <c r="J602" s="371"/>
      <c r="K602" s="370"/>
      <c r="L602" s="369"/>
      <c r="M602" s="369"/>
      <c r="N602" s="369"/>
      <c r="O602" s="369"/>
      <c r="P602" s="369"/>
      <c r="Q602" s="369"/>
      <c r="R602" s="369"/>
      <c r="S602" s="369"/>
      <c r="T602" s="369"/>
      <c r="U602" s="369"/>
      <c r="V602" s="369"/>
      <c r="W602" s="369"/>
      <c r="X602" s="369"/>
      <c r="Y602" s="369"/>
      <c r="Z602" s="369"/>
    </row>
    <row r="603" spans="1:26" ht="14.25" customHeight="1">
      <c r="A603" s="369"/>
      <c r="B603" s="369"/>
      <c r="C603" s="369"/>
      <c r="D603" s="369"/>
      <c r="E603" s="369"/>
      <c r="F603" s="369"/>
      <c r="G603" s="369"/>
      <c r="H603" s="370"/>
      <c r="I603" s="371"/>
      <c r="J603" s="371"/>
      <c r="K603" s="370"/>
      <c r="L603" s="369"/>
      <c r="M603" s="369"/>
      <c r="N603" s="369"/>
      <c r="O603" s="369"/>
      <c r="P603" s="369"/>
      <c r="Q603" s="369"/>
      <c r="R603" s="369"/>
      <c r="S603" s="369"/>
      <c r="T603" s="369"/>
      <c r="U603" s="369"/>
      <c r="V603" s="369"/>
      <c r="W603" s="369"/>
      <c r="X603" s="369"/>
      <c r="Y603" s="369"/>
      <c r="Z603" s="369"/>
    </row>
    <row r="604" spans="1:26" ht="14.25" customHeight="1">
      <c r="A604" s="369"/>
      <c r="B604" s="369"/>
      <c r="C604" s="369"/>
      <c r="D604" s="369"/>
      <c r="E604" s="369"/>
      <c r="F604" s="369"/>
      <c r="G604" s="369"/>
      <c r="H604" s="370"/>
      <c r="I604" s="371"/>
      <c r="J604" s="371"/>
      <c r="K604" s="370"/>
      <c r="L604" s="369"/>
      <c r="M604" s="369"/>
      <c r="N604" s="369"/>
      <c r="O604" s="369"/>
      <c r="P604" s="369"/>
      <c r="Q604" s="369"/>
      <c r="R604" s="369"/>
      <c r="S604" s="369"/>
      <c r="T604" s="369"/>
      <c r="U604" s="369"/>
      <c r="V604" s="369"/>
      <c r="W604" s="369"/>
      <c r="X604" s="369"/>
      <c r="Y604" s="369"/>
      <c r="Z604" s="369"/>
    </row>
    <row r="605" spans="1:26" ht="14.25" customHeight="1">
      <c r="A605" s="369"/>
      <c r="B605" s="369"/>
      <c r="C605" s="369"/>
      <c r="D605" s="369"/>
      <c r="E605" s="369"/>
      <c r="F605" s="369"/>
      <c r="G605" s="369"/>
      <c r="H605" s="370"/>
      <c r="I605" s="371"/>
      <c r="J605" s="371"/>
      <c r="K605" s="370"/>
      <c r="L605" s="369"/>
      <c r="M605" s="369"/>
      <c r="N605" s="369"/>
      <c r="O605" s="369"/>
      <c r="P605" s="369"/>
      <c r="Q605" s="369"/>
      <c r="R605" s="369"/>
      <c r="S605" s="369"/>
      <c r="T605" s="369"/>
      <c r="U605" s="369"/>
      <c r="V605" s="369"/>
      <c r="W605" s="369"/>
      <c r="X605" s="369"/>
      <c r="Y605" s="369"/>
      <c r="Z605" s="369"/>
    </row>
    <row r="606" spans="1:26" ht="14.25" customHeight="1">
      <c r="A606" s="369"/>
      <c r="B606" s="369"/>
      <c r="C606" s="369"/>
      <c r="D606" s="369"/>
      <c r="E606" s="369"/>
      <c r="F606" s="369"/>
      <c r="G606" s="369"/>
      <c r="H606" s="370"/>
      <c r="I606" s="371"/>
      <c r="J606" s="371"/>
      <c r="K606" s="370"/>
      <c r="L606" s="369"/>
      <c r="M606" s="369"/>
      <c r="N606" s="369"/>
      <c r="O606" s="369"/>
      <c r="P606" s="369"/>
      <c r="Q606" s="369"/>
      <c r="R606" s="369"/>
      <c r="S606" s="369"/>
      <c r="T606" s="369"/>
      <c r="U606" s="369"/>
      <c r="V606" s="369"/>
      <c r="W606" s="369"/>
      <c r="X606" s="369"/>
      <c r="Y606" s="369"/>
      <c r="Z606" s="369"/>
    </row>
    <row r="607" spans="1:26" ht="14.25" customHeight="1">
      <c r="A607" s="369"/>
      <c r="B607" s="369"/>
      <c r="C607" s="369"/>
      <c r="D607" s="369"/>
      <c r="E607" s="369"/>
      <c r="F607" s="369"/>
      <c r="G607" s="369"/>
      <c r="H607" s="370"/>
      <c r="I607" s="371"/>
      <c r="J607" s="371"/>
      <c r="K607" s="370"/>
      <c r="L607" s="369"/>
      <c r="M607" s="369"/>
      <c r="N607" s="369"/>
      <c r="O607" s="369"/>
      <c r="P607" s="369"/>
      <c r="Q607" s="369"/>
      <c r="R607" s="369"/>
      <c r="S607" s="369"/>
      <c r="T607" s="369"/>
      <c r="U607" s="369"/>
      <c r="V607" s="369"/>
      <c r="W607" s="369"/>
      <c r="X607" s="369"/>
      <c r="Y607" s="369"/>
      <c r="Z607" s="369"/>
    </row>
    <row r="608" spans="1:26" ht="14.25" customHeight="1">
      <c r="A608" s="369"/>
      <c r="B608" s="369"/>
      <c r="C608" s="369"/>
      <c r="D608" s="369"/>
      <c r="E608" s="369"/>
      <c r="F608" s="369"/>
      <c r="G608" s="369"/>
      <c r="H608" s="370"/>
      <c r="I608" s="371"/>
      <c r="J608" s="371"/>
      <c r="K608" s="370"/>
      <c r="L608" s="369"/>
      <c r="M608" s="369"/>
      <c r="N608" s="369"/>
      <c r="O608" s="369"/>
      <c r="P608" s="369"/>
      <c r="Q608" s="369"/>
      <c r="R608" s="369"/>
      <c r="S608" s="369"/>
      <c r="T608" s="369"/>
      <c r="U608" s="369"/>
      <c r="V608" s="369"/>
      <c r="W608" s="369"/>
      <c r="X608" s="369"/>
      <c r="Y608" s="369"/>
      <c r="Z608" s="369"/>
    </row>
    <row r="609" spans="1:26" ht="14.25" customHeight="1">
      <c r="A609" s="369"/>
      <c r="B609" s="369"/>
      <c r="C609" s="369"/>
      <c r="D609" s="369"/>
      <c r="E609" s="369"/>
      <c r="F609" s="369"/>
      <c r="G609" s="369"/>
      <c r="H609" s="370"/>
      <c r="I609" s="371"/>
      <c r="J609" s="371"/>
      <c r="K609" s="370"/>
      <c r="L609" s="369"/>
      <c r="M609" s="369"/>
      <c r="N609" s="369"/>
      <c r="O609" s="369"/>
      <c r="P609" s="369"/>
      <c r="Q609" s="369"/>
      <c r="R609" s="369"/>
      <c r="S609" s="369"/>
      <c r="T609" s="369"/>
      <c r="U609" s="369"/>
      <c r="V609" s="369"/>
      <c r="W609" s="369"/>
      <c r="X609" s="369"/>
      <c r="Y609" s="369"/>
      <c r="Z609" s="369"/>
    </row>
    <row r="610" spans="1:26" ht="14.25" customHeight="1">
      <c r="A610" s="369"/>
      <c r="B610" s="369"/>
      <c r="C610" s="369"/>
      <c r="D610" s="369"/>
      <c r="E610" s="369"/>
      <c r="F610" s="369"/>
      <c r="G610" s="369"/>
      <c r="H610" s="370"/>
      <c r="I610" s="371"/>
      <c r="J610" s="371"/>
      <c r="K610" s="370"/>
      <c r="L610" s="369"/>
      <c r="M610" s="369"/>
      <c r="N610" s="369"/>
      <c r="O610" s="369"/>
      <c r="P610" s="369"/>
      <c r="Q610" s="369"/>
      <c r="R610" s="369"/>
      <c r="S610" s="369"/>
      <c r="T610" s="369"/>
      <c r="U610" s="369"/>
      <c r="V610" s="369"/>
      <c r="W610" s="369"/>
      <c r="X610" s="369"/>
      <c r="Y610" s="369"/>
      <c r="Z610" s="369"/>
    </row>
    <row r="611" spans="1:26" ht="14.25" customHeight="1">
      <c r="A611" s="369"/>
      <c r="B611" s="369"/>
      <c r="C611" s="369"/>
      <c r="D611" s="369"/>
      <c r="E611" s="369"/>
      <c r="F611" s="369"/>
      <c r="G611" s="369"/>
      <c r="H611" s="370"/>
      <c r="I611" s="371"/>
      <c r="J611" s="371"/>
      <c r="K611" s="370"/>
      <c r="L611" s="369"/>
      <c r="M611" s="369"/>
      <c r="N611" s="369"/>
      <c r="O611" s="369"/>
      <c r="P611" s="369"/>
      <c r="Q611" s="369"/>
      <c r="R611" s="369"/>
      <c r="S611" s="369"/>
      <c r="T611" s="369"/>
      <c r="U611" s="369"/>
      <c r="V611" s="369"/>
      <c r="W611" s="369"/>
      <c r="X611" s="369"/>
      <c r="Y611" s="369"/>
      <c r="Z611" s="369"/>
    </row>
    <row r="612" spans="1:26" ht="14.25" customHeight="1">
      <c r="A612" s="369"/>
      <c r="B612" s="369"/>
      <c r="C612" s="369"/>
      <c r="D612" s="369"/>
      <c r="E612" s="369"/>
      <c r="F612" s="369"/>
      <c r="G612" s="369"/>
      <c r="H612" s="370"/>
      <c r="I612" s="371"/>
      <c r="J612" s="371"/>
      <c r="K612" s="370"/>
      <c r="L612" s="369"/>
      <c r="M612" s="369"/>
      <c r="N612" s="369"/>
      <c r="O612" s="369"/>
      <c r="P612" s="369"/>
      <c r="Q612" s="369"/>
      <c r="R612" s="369"/>
      <c r="S612" s="369"/>
      <c r="T612" s="369"/>
      <c r="U612" s="369"/>
      <c r="V612" s="369"/>
      <c r="W612" s="369"/>
      <c r="X612" s="369"/>
      <c r="Y612" s="369"/>
      <c r="Z612" s="369"/>
    </row>
    <row r="613" spans="1:26" ht="14.25" customHeight="1">
      <c r="A613" s="369"/>
      <c r="B613" s="369"/>
      <c r="C613" s="369"/>
      <c r="D613" s="369"/>
      <c r="E613" s="369"/>
      <c r="F613" s="369"/>
      <c r="G613" s="369"/>
      <c r="H613" s="370"/>
      <c r="I613" s="371"/>
      <c r="J613" s="371"/>
      <c r="K613" s="370"/>
      <c r="L613" s="369"/>
      <c r="M613" s="369"/>
      <c r="N613" s="369"/>
      <c r="O613" s="369"/>
      <c r="P613" s="369"/>
      <c r="Q613" s="369"/>
      <c r="R613" s="369"/>
      <c r="S613" s="369"/>
      <c r="T613" s="369"/>
      <c r="U613" s="369"/>
      <c r="V613" s="369"/>
      <c r="W613" s="369"/>
      <c r="X613" s="369"/>
      <c r="Y613" s="369"/>
      <c r="Z613" s="369"/>
    </row>
    <row r="614" spans="1:26" ht="14.25" customHeight="1">
      <c r="A614" s="369"/>
      <c r="B614" s="369"/>
      <c r="C614" s="369"/>
      <c r="D614" s="369"/>
      <c r="E614" s="369"/>
      <c r="F614" s="369"/>
      <c r="G614" s="369"/>
      <c r="H614" s="370"/>
      <c r="I614" s="371"/>
      <c r="J614" s="371"/>
      <c r="K614" s="370"/>
      <c r="L614" s="369"/>
      <c r="M614" s="369"/>
      <c r="N614" s="369"/>
      <c r="O614" s="369"/>
      <c r="P614" s="369"/>
      <c r="Q614" s="369"/>
      <c r="R614" s="369"/>
      <c r="S614" s="369"/>
      <c r="T614" s="369"/>
      <c r="U614" s="369"/>
      <c r="V614" s="369"/>
      <c r="W614" s="369"/>
      <c r="X614" s="369"/>
      <c r="Y614" s="369"/>
      <c r="Z614" s="369"/>
    </row>
    <row r="615" spans="1:26" ht="14.25" customHeight="1">
      <c r="A615" s="369"/>
      <c r="B615" s="369"/>
      <c r="C615" s="369"/>
      <c r="D615" s="369"/>
      <c r="E615" s="369"/>
      <c r="F615" s="369"/>
      <c r="G615" s="369"/>
      <c r="H615" s="370"/>
      <c r="I615" s="371"/>
      <c r="J615" s="371"/>
      <c r="K615" s="370"/>
      <c r="L615" s="369"/>
      <c r="M615" s="369"/>
      <c r="N615" s="369"/>
      <c r="O615" s="369"/>
      <c r="P615" s="369"/>
      <c r="Q615" s="369"/>
      <c r="R615" s="369"/>
      <c r="S615" s="369"/>
      <c r="T615" s="369"/>
      <c r="U615" s="369"/>
      <c r="V615" s="369"/>
      <c r="W615" s="369"/>
      <c r="X615" s="369"/>
      <c r="Y615" s="369"/>
      <c r="Z615" s="369"/>
    </row>
    <row r="616" spans="1:26" ht="14.25" customHeight="1">
      <c r="A616" s="369"/>
      <c r="B616" s="369"/>
      <c r="C616" s="369"/>
      <c r="D616" s="369"/>
      <c r="E616" s="369"/>
      <c r="F616" s="369"/>
      <c r="G616" s="369"/>
      <c r="H616" s="370"/>
      <c r="I616" s="371"/>
      <c r="J616" s="371"/>
      <c r="K616" s="370"/>
      <c r="L616" s="369"/>
      <c r="M616" s="369"/>
      <c r="N616" s="369"/>
      <c r="O616" s="369"/>
      <c r="P616" s="369"/>
      <c r="Q616" s="369"/>
      <c r="R616" s="369"/>
      <c r="S616" s="369"/>
      <c r="T616" s="369"/>
      <c r="U616" s="369"/>
      <c r="V616" s="369"/>
      <c r="W616" s="369"/>
      <c r="X616" s="369"/>
      <c r="Y616" s="369"/>
      <c r="Z616" s="369"/>
    </row>
    <row r="617" spans="1:26" ht="14.25" customHeight="1">
      <c r="A617" s="369"/>
      <c r="B617" s="369"/>
      <c r="C617" s="369"/>
      <c r="D617" s="369"/>
      <c r="E617" s="369"/>
      <c r="F617" s="369"/>
      <c r="G617" s="369"/>
      <c r="H617" s="370"/>
      <c r="I617" s="371"/>
      <c r="J617" s="371"/>
      <c r="K617" s="370"/>
      <c r="L617" s="369"/>
      <c r="M617" s="369"/>
      <c r="N617" s="369"/>
      <c r="O617" s="369"/>
      <c r="P617" s="369"/>
      <c r="Q617" s="369"/>
      <c r="R617" s="369"/>
      <c r="S617" s="369"/>
      <c r="T617" s="369"/>
      <c r="U617" s="369"/>
      <c r="V617" s="369"/>
      <c r="W617" s="369"/>
      <c r="X617" s="369"/>
      <c r="Y617" s="369"/>
      <c r="Z617" s="369"/>
    </row>
    <row r="618" spans="1:26" ht="14.25" customHeight="1">
      <c r="A618" s="369"/>
      <c r="B618" s="369"/>
      <c r="C618" s="369"/>
      <c r="D618" s="369"/>
      <c r="E618" s="369"/>
      <c r="F618" s="369"/>
      <c r="G618" s="369"/>
      <c r="H618" s="370"/>
      <c r="I618" s="371"/>
      <c r="J618" s="371"/>
      <c r="K618" s="370"/>
      <c r="L618" s="369"/>
      <c r="M618" s="369"/>
      <c r="N618" s="369"/>
      <c r="O618" s="369"/>
      <c r="P618" s="369"/>
      <c r="Q618" s="369"/>
      <c r="R618" s="369"/>
      <c r="S618" s="369"/>
      <c r="T618" s="369"/>
      <c r="U618" s="369"/>
      <c r="V618" s="369"/>
      <c r="W618" s="369"/>
      <c r="X618" s="369"/>
      <c r="Y618" s="369"/>
      <c r="Z618" s="369"/>
    </row>
    <row r="619" spans="1:26" ht="14.25" customHeight="1">
      <c r="A619" s="369"/>
      <c r="B619" s="369"/>
      <c r="C619" s="369"/>
      <c r="D619" s="369"/>
      <c r="E619" s="369"/>
      <c r="F619" s="369"/>
      <c r="G619" s="369"/>
      <c r="H619" s="370"/>
      <c r="I619" s="371"/>
      <c r="J619" s="371"/>
      <c r="K619" s="370"/>
      <c r="L619" s="369"/>
      <c r="M619" s="369"/>
      <c r="N619" s="369"/>
      <c r="O619" s="369"/>
      <c r="P619" s="369"/>
      <c r="Q619" s="369"/>
      <c r="R619" s="369"/>
      <c r="S619" s="369"/>
      <c r="T619" s="369"/>
      <c r="U619" s="369"/>
      <c r="V619" s="369"/>
      <c r="W619" s="369"/>
      <c r="X619" s="369"/>
      <c r="Y619" s="369"/>
      <c r="Z619" s="369"/>
    </row>
    <row r="620" spans="1:26" ht="14.25" customHeight="1">
      <c r="A620" s="369"/>
      <c r="B620" s="369"/>
      <c r="C620" s="369"/>
      <c r="D620" s="369"/>
      <c r="E620" s="369"/>
      <c r="F620" s="369"/>
      <c r="G620" s="369"/>
      <c r="H620" s="370"/>
      <c r="I620" s="371"/>
      <c r="J620" s="371"/>
      <c r="K620" s="370"/>
      <c r="L620" s="369"/>
      <c r="M620" s="369"/>
      <c r="N620" s="369"/>
      <c r="O620" s="369"/>
      <c r="P620" s="369"/>
      <c r="Q620" s="369"/>
      <c r="R620" s="369"/>
      <c r="S620" s="369"/>
      <c r="T620" s="369"/>
      <c r="U620" s="369"/>
      <c r="V620" s="369"/>
      <c r="W620" s="369"/>
      <c r="X620" s="369"/>
      <c r="Y620" s="369"/>
      <c r="Z620" s="369"/>
    </row>
    <row r="621" spans="1:26" ht="14.25" customHeight="1">
      <c r="A621" s="369"/>
      <c r="B621" s="369"/>
      <c r="C621" s="369"/>
      <c r="D621" s="369"/>
      <c r="E621" s="369"/>
      <c r="F621" s="369"/>
      <c r="G621" s="369"/>
      <c r="H621" s="370"/>
      <c r="I621" s="371"/>
      <c r="J621" s="371"/>
      <c r="K621" s="370"/>
      <c r="L621" s="369"/>
      <c r="M621" s="369"/>
      <c r="N621" s="369"/>
      <c r="O621" s="369"/>
      <c r="P621" s="369"/>
      <c r="Q621" s="369"/>
      <c r="R621" s="369"/>
      <c r="S621" s="369"/>
      <c r="T621" s="369"/>
      <c r="U621" s="369"/>
      <c r="V621" s="369"/>
      <c r="W621" s="369"/>
      <c r="X621" s="369"/>
      <c r="Y621" s="369"/>
      <c r="Z621" s="369"/>
    </row>
    <row r="622" spans="1:26" ht="14.25" customHeight="1">
      <c r="A622" s="369"/>
      <c r="B622" s="369"/>
      <c r="C622" s="369"/>
      <c r="D622" s="369"/>
      <c r="E622" s="369"/>
      <c r="F622" s="369"/>
      <c r="G622" s="369"/>
      <c r="H622" s="370"/>
      <c r="I622" s="371"/>
      <c r="J622" s="371"/>
      <c r="K622" s="370"/>
      <c r="L622" s="369"/>
      <c r="M622" s="369"/>
      <c r="N622" s="369"/>
      <c r="O622" s="369"/>
      <c r="P622" s="369"/>
      <c r="Q622" s="369"/>
      <c r="R622" s="369"/>
      <c r="S622" s="369"/>
      <c r="T622" s="369"/>
      <c r="U622" s="369"/>
      <c r="V622" s="369"/>
      <c r="W622" s="369"/>
      <c r="X622" s="369"/>
      <c r="Y622" s="369"/>
      <c r="Z622" s="369"/>
    </row>
    <row r="623" spans="1:26" ht="14.25" customHeight="1">
      <c r="A623" s="369"/>
      <c r="B623" s="369"/>
      <c r="C623" s="369"/>
      <c r="D623" s="369"/>
      <c r="E623" s="369"/>
      <c r="F623" s="369"/>
      <c r="G623" s="369"/>
      <c r="H623" s="370"/>
      <c r="I623" s="371"/>
      <c r="J623" s="371"/>
      <c r="K623" s="370"/>
      <c r="L623" s="369"/>
      <c r="M623" s="369"/>
      <c r="N623" s="369"/>
      <c r="O623" s="369"/>
      <c r="P623" s="369"/>
      <c r="Q623" s="369"/>
      <c r="R623" s="369"/>
      <c r="S623" s="369"/>
      <c r="T623" s="369"/>
      <c r="U623" s="369"/>
      <c r="V623" s="369"/>
      <c r="W623" s="369"/>
      <c r="X623" s="369"/>
      <c r="Y623" s="369"/>
      <c r="Z623" s="369"/>
    </row>
    <row r="624" spans="1:26" ht="14.25" customHeight="1">
      <c r="A624" s="369"/>
      <c r="B624" s="369"/>
      <c r="C624" s="369"/>
      <c r="D624" s="369"/>
      <c r="E624" s="369"/>
      <c r="F624" s="369"/>
      <c r="G624" s="369"/>
      <c r="H624" s="370"/>
      <c r="I624" s="371"/>
      <c r="J624" s="371"/>
      <c r="K624" s="370"/>
      <c r="L624" s="369"/>
      <c r="M624" s="369"/>
      <c r="N624" s="369"/>
      <c r="O624" s="369"/>
      <c r="P624" s="369"/>
      <c r="Q624" s="369"/>
      <c r="R624" s="369"/>
      <c r="S624" s="369"/>
      <c r="T624" s="369"/>
      <c r="U624" s="369"/>
      <c r="V624" s="369"/>
      <c r="W624" s="369"/>
      <c r="X624" s="369"/>
      <c r="Y624" s="369"/>
      <c r="Z624" s="369"/>
    </row>
    <row r="625" spans="1:26" ht="14.25" customHeight="1">
      <c r="A625" s="369"/>
      <c r="B625" s="369"/>
      <c r="C625" s="369"/>
      <c r="D625" s="369"/>
      <c r="E625" s="369"/>
      <c r="F625" s="369"/>
      <c r="G625" s="369"/>
      <c r="H625" s="370"/>
      <c r="I625" s="371"/>
      <c r="J625" s="371"/>
      <c r="K625" s="370"/>
      <c r="L625" s="369"/>
      <c r="M625" s="369"/>
      <c r="N625" s="369"/>
      <c r="O625" s="369"/>
      <c r="P625" s="369"/>
      <c r="Q625" s="369"/>
      <c r="R625" s="369"/>
      <c r="S625" s="369"/>
      <c r="T625" s="369"/>
      <c r="U625" s="369"/>
      <c r="V625" s="369"/>
      <c r="W625" s="369"/>
      <c r="X625" s="369"/>
      <c r="Y625" s="369"/>
      <c r="Z625" s="369"/>
    </row>
    <row r="626" spans="1:26" ht="14.25" customHeight="1">
      <c r="A626" s="369"/>
      <c r="B626" s="369"/>
      <c r="C626" s="369"/>
      <c r="D626" s="369"/>
      <c r="E626" s="369"/>
      <c r="F626" s="369"/>
      <c r="G626" s="369"/>
      <c r="H626" s="370"/>
      <c r="I626" s="371"/>
      <c r="J626" s="371"/>
      <c r="K626" s="370"/>
      <c r="L626" s="369"/>
      <c r="M626" s="369"/>
      <c r="N626" s="369"/>
      <c r="O626" s="369"/>
      <c r="P626" s="369"/>
      <c r="Q626" s="369"/>
      <c r="R626" s="369"/>
      <c r="S626" s="369"/>
      <c r="T626" s="369"/>
      <c r="U626" s="369"/>
      <c r="V626" s="369"/>
      <c r="W626" s="369"/>
      <c r="X626" s="369"/>
      <c r="Y626" s="369"/>
      <c r="Z626" s="369"/>
    </row>
    <row r="627" spans="1:26" ht="14.25" customHeight="1">
      <c r="A627" s="369"/>
      <c r="B627" s="369"/>
      <c r="C627" s="369"/>
      <c r="D627" s="369"/>
      <c r="E627" s="369"/>
      <c r="F627" s="369"/>
      <c r="G627" s="369"/>
      <c r="H627" s="370"/>
      <c r="I627" s="371"/>
      <c r="J627" s="371"/>
      <c r="K627" s="370"/>
      <c r="L627" s="369"/>
      <c r="M627" s="369"/>
      <c r="N627" s="369"/>
      <c r="O627" s="369"/>
      <c r="P627" s="369"/>
      <c r="Q627" s="369"/>
      <c r="R627" s="369"/>
      <c r="S627" s="369"/>
      <c r="T627" s="369"/>
      <c r="U627" s="369"/>
      <c r="V627" s="369"/>
      <c r="W627" s="369"/>
      <c r="X627" s="369"/>
      <c r="Y627" s="369"/>
      <c r="Z627" s="369"/>
    </row>
    <row r="628" spans="1:26" ht="14.25" customHeight="1">
      <c r="A628" s="369"/>
      <c r="B628" s="369"/>
      <c r="C628" s="369"/>
      <c r="D628" s="369"/>
      <c r="E628" s="369"/>
      <c r="F628" s="369"/>
      <c r="G628" s="369"/>
      <c r="H628" s="370"/>
      <c r="I628" s="371"/>
      <c r="J628" s="371"/>
      <c r="K628" s="370"/>
      <c r="L628" s="369"/>
      <c r="M628" s="369"/>
      <c r="N628" s="369"/>
      <c r="O628" s="369"/>
      <c r="P628" s="369"/>
      <c r="Q628" s="369"/>
      <c r="R628" s="369"/>
      <c r="S628" s="369"/>
      <c r="T628" s="369"/>
      <c r="U628" s="369"/>
      <c r="V628" s="369"/>
      <c r="W628" s="369"/>
      <c r="X628" s="369"/>
      <c r="Y628" s="369"/>
      <c r="Z628" s="369"/>
    </row>
    <row r="629" spans="1:26" ht="14.25" customHeight="1">
      <c r="A629" s="369"/>
      <c r="B629" s="369"/>
      <c r="C629" s="369"/>
      <c r="D629" s="369"/>
      <c r="E629" s="369"/>
      <c r="F629" s="369"/>
      <c r="G629" s="369"/>
      <c r="H629" s="370"/>
      <c r="I629" s="371"/>
      <c r="J629" s="371"/>
      <c r="K629" s="370"/>
      <c r="L629" s="369"/>
      <c r="M629" s="369"/>
      <c r="N629" s="369"/>
      <c r="O629" s="369"/>
      <c r="P629" s="369"/>
      <c r="Q629" s="369"/>
      <c r="R629" s="369"/>
      <c r="S629" s="369"/>
      <c r="T629" s="369"/>
      <c r="U629" s="369"/>
      <c r="V629" s="369"/>
      <c r="W629" s="369"/>
      <c r="X629" s="369"/>
      <c r="Y629" s="369"/>
      <c r="Z629" s="369"/>
    </row>
    <row r="630" spans="1:26" ht="14.25" customHeight="1">
      <c r="A630" s="369"/>
      <c r="B630" s="369"/>
      <c r="C630" s="369"/>
      <c r="D630" s="369"/>
      <c r="E630" s="369"/>
      <c r="F630" s="369"/>
      <c r="G630" s="369"/>
      <c r="H630" s="370"/>
      <c r="I630" s="371"/>
      <c r="J630" s="371"/>
      <c r="K630" s="370"/>
      <c r="L630" s="369"/>
      <c r="M630" s="369"/>
      <c r="N630" s="369"/>
      <c r="O630" s="369"/>
      <c r="P630" s="369"/>
      <c r="Q630" s="369"/>
      <c r="R630" s="369"/>
      <c r="S630" s="369"/>
      <c r="T630" s="369"/>
      <c r="U630" s="369"/>
      <c r="V630" s="369"/>
      <c r="W630" s="369"/>
      <c r="X630" s="369"/>
      <c r="Y630" s="369"/>
      <c r="Z630" s="369"/>
    </row>
    <row r="631" spans="1:26" ht="14.25" customHeight="1">
      <c r="A631" s="369"/>
      <c r="B631" s="369"/>
      <c r="C631" s="369"/>
      <c r="D631" s="369"/>
      <c r="E631" s="369"/>
      <c r="F631" s="369"/>
      <c r="G631" s="369"/>
      <c r="H631" s="370"/>
      <c r="I631" s="371"/>
      <c r="J631" s="371"/>
      <c r="K631" s="370"/>
      <c r="L631" s="369"/>
      <c r="M631" s="369"/>
      <c r="N631" s="369"/>
      <c r="O631" s="369"/>
      <c r="P631" s="369"/>
      <c r="Q631" s="369"/>
      <c r="R631" s="369"/>
      <c r="S631" s="369"/>
      <c r="T631" s="369"/>
      <c r="U631" s="369"/>
      <c r="V631" s="369"/>
      <c r="W631" s="369"/>
      <c r="X631" s="369"/>
      <c r="Y631" s="369"/>
      <c r="Z631" s="369"/>
    </row>
    <row r="632" spans="1:26" ht="14.25" customHeight="1">
      <c r="A632" s="369"/>
      <c r="B632" s="369"/>
      <c r="C632" s="369"/>
      <c r="D632" s="369"/>
      <c r="E632" s="369"/>
      <c r="F632" s="369"/>
      <c r="G632" s="369"/>
      <c r="H632" s="370"/>
      <c r="I632" s="371"/>
      <c r="J632" s="371"/>
      <c r="K632" s="370"/>
      <c r="L632" s="369"/>
      <c r="M632" s="369"/>
      <c r="N632" s="369"/>
      <c r="O632" s="369"/>
      <c r="P632" s="369"/>
      <c r="Q632" s="369"/>
      <c r="R632" s="369"/>
      <c r="S632" s="369"/>
      <c r="T632" s="369"/>
      <c r="U632" s="369"/>
      <c r="V632" s="369"/>
      <c r="W632" s="369"/>
      <c r="X632" s="369"/>
      <c r="Y632" s="369"/>
      <c r="Z632" s="369"/>
    </row>
    <row r="633" spans="1:26" ht="14.25" customHeight="1">
      <c r="A633" s="369"/>
      <c r="B633" s="369"/>
      <c r="C633" s="369"/>
      <c r="D633" s="369"/>
      <c r="E633" s="369"/>
      <c r="F633" s="369"/>
      <c r="G633" s="369"/>
      <c r="H633" s="370"/>
      <c r="I633" s="371"/>
      <c r="J633" s="371"/>
      <c r="K633" s="370"/>
      <c r="L633" s="369"/>
      <c r="M633" s="369"/>
      <c r="N633" s="369"/>
      <c r="O633" s="369"/>
      <c r="P633" s="369"/>
      <c r="Q633" s="369"/>
      <c r="R633" s="369"/>
      <c r="S633" s="369"/>
      <c r="T633" s="369"/>
      <c r="U633" s="369"/>
      <c r="V633" s="369"/>
      <c r="W633" s="369"/>
      <c r="X633" s="369"/>
      <c r="Y633" s="369"/>
      <c r="Z633" s="369"/>
    </row>
    <row r="634" spans="1:26" ht="14.25" customHeight="1">
      <c r="A634" s="369"/>
      <c r="B634" s="369"/>
      <c r="C634" s="369"/>
      <c r="D634" s="369"/>
      <c r="E634" s="369"/>
      <c r="F634" s="369"/>
      <c r="G634" s="369"/>
      <c r="H634" s="370"/>
      <c r="I634" s="371"/>
      <c r="J634" s="371"/>
      <c r="K634" s="370"/>
      <c r="L634" s="369"/>
      <c r="M634" s="369"/>
      <c r="N634" s="369"/>
      <c r="O634" s="369"/>
      <c r="P634" s="369"/>
      <c r="Q634" s="369"/>
      <c r="R634" s="369"/>
      <c r="S634" s="369"/>
      <c r="T634" s="369"/>
      <c r="U634" s="369"/>
      <c r="V634" s="369"/>
      <c r="W634" s="369"/>
      <c r="X634" s="369"/>
      <c r="Y634" s="369"/>
      <c r="Z634" s="369"/>
    </row>
    <row r="635" spans="1:26" ht="14.25" customHeight="1">
      <c r="A635" s="369"/>
      <c r="B635" s="369"/>
      <c r="C635" s="369"/>
      <c r="D635" s="369"/>
      <c r="E635" s="369"/>
      <c r="F635" s="369"/>
      <c r="G635" s="369"/>
      <c r="H635" s="370"/>
      <c r="I635" s="371"/>
      <c r="J635" s="371"/>
      <c r="K635" s="370"/>
      <c r="L635" s="369"/>
      <c r="M635" s="369"/>
      <c r="N635" s="369"/>
      <c r="O635" s="369"/>
      <c r="P635" s="369"/>
      <c r="Q635" s="369"/>
      <c r="R635" s="369"/>
      <c r="S635" s="369"/>
      <c r="T635" s="369"/>
      <c r="U635" s="369"/>
      <c r="V635" s="369"/>
      <c r="W635" s="369"/>
      <c r="X635" s="369"/>
      <c r="Y635" s="369"/>
      <c r="Z635" s="369"/>
    </row>
    <row r="636" spans="1:26" ht="14.25" customHeight="1">
      <c r="A636" s="369"/>
      <c r="B636" s="369"/>
      <c r="C636" s="369"/>
      <c r="D636" s="369"/>
      <c r="E636" s="369"/>
      <c r="F636" s="369"/>
      <c r="G636" s="369"/>
      <c r="H636" s="370"/>
      <c r="I636" s="371"/>
      <c r="J636" s="371"/>
      <c r="K636" s="370"/>
      <c r="L636" s="369"/>
      <c r="M636" s="369"/>
      <c r="N636" s="369"/>
      <c r="O636" s="369"/>
      <c r="P636" s="369"/>
      <c r="Q636" s="369"/>
      <c r="R636" s="369"/>
      <c r="S636" s="369"/>
      <c r="T636" s="369"/>
      <c r="U636" s="369"/>
      <c r="V636" s="369"/>
      <c r="W636" s="369"/>
      <c r="X636" s="369"/>
      <c r="Y636" s="369"/>
      <c r="Z636" s="369"/>
    </row>
    <row r="637" spans="1:26" ht="14.25" customHeight="1">
      <c r="A637" s="369"/>
      <c r="B637" s="369"/>
      <c r="C637" s="369"/>
      <c r="D637" s="369"/>
      <c r="E637" s="369"/>
      <c r="F637" s="369"/>
      <c r="G637" s="369"/>
      <c r="H637" s="370"/>
      <c r="I637" s="371"/>
      <c r="J637" s="371"/>
      <c r="K637" s="370"/>
      <c r="L637" s="369"/>
      <c r="M637" s="369"/>
      <c r="N637" s="369"/>
      <c r="O637" s="369"/>
      <c r="P637" s="369"/>
      <c r="Q637" s="369"/>
      <c r="R637" s="369"/>
      <c r="S637" s="369"/>
      <c r="T637" s="369"/>
      <c r="U637" s="369"/>
      <c r="V637" s="369"/>
      <c r="W637" s="369"/>
      <c r="X637" s="369"/>
      <c r="Y637" s="369"/>
      <c r="Z637" s="369"/>
    </row>
    <row r="638" spans="1:26" ht="14.25" customHeight="1">
      <c r="A638" s="369"/>
      <c r="B638" s="369"/>
      <c r="C638" s="369"/>
      <c r="D638" s="369"/>
      <c r="E638" s="369"/>
      <c r="F638" s="369"/>
      <c r="G638" s="369"/>
      <c r="H638" s="370"/>
      <c r="I638" s="371"/>
      <c r="J638" s="371"/>
      <c r="K638" s="370"/>
      <c r="L638" s="369"/>
      <c r="M638" s="369"/>
      <c r="N638" s="369"/>
      <c r="O638" s="369"/>
      <c r="P638" s="369"/>
      <c r="Q638" s="369"/>
      <c r="R638" s="369"/>
      <c r="S638" s="369"/>
      <c r="T638" s="369"/>
      <c r="U638" s="369"/>
      <c r="V638" s="369"/>
      <c r="W638" s="369"/>
      <c r="X638" s="369"/>
      <c r="Y638" s="369"/>
      <c r="Z638" s="369"/>
    </row>
    <row r="639" spans="1:26" ht="14.25" customHeight="1">
      <c r="A639" s="369"/>
      <c r="B639" s="369"/>
      <c r="C639" s="369"/>
      <c r="D639" s="369"/>
      <c r="E639" s="369"/>
      <c r="F639" s="369"/>
      <c r="G639" s="369"/>
      <c r="H639" s="370"/>
      <c r="I639" s="371"/>
      <c r="J639" s="371"/>
      <c r="K639" s="370"/>
      <c r="L639" s="369"/>
      <c r="M639" s="369"/>
      <c r="N639" s="369"/>
      <c r="O639" s="369"/>
      <c r="P639" s="369"/>
      <c r="Q639" s="369"/>
      <c r="R639" s="369"/>
      <c r="S639" s="369"/>
      <c r="T639" s="369"/>
      <c r="U639" s="369"/>
      <c r="V639" s="369"/>
      <c r="W639" s="369"/>
      <c r="X639" s="369"/>
      <c r="Y639" s="369"/>
      <c r="Z639" s="369"/>
    </row>
    <row r="640" spans="1:26" ht="14.25" customHeight="1">
      <c r="A640" s="369"/>
      <c r="B640" s="369"/>
      <c r="C640" s="369"/>
      <c r="D640" s="369"/>
      <c r="E640" s="369"/>
      <c r="F640" s="369"/>
      <c r="G640" s="369"/>
      <c r="H640" s="370"/>
      <c r="I640" s="371"/>
      <c r="J640" s="371"/>
      <c r="K640" s="370"/>
      <c r="L640" s="369"/>
      <c r="M640" s="369"/>
      <c r="N640" s="369"/>
      <c r="O640" s="369"/>
      <c r="P640" s="369"/>
      <c r="Q640" s="369"/>
      <c r="R640" s="369"/>
      <c r="S640" s="369"/>
      <c r="T640" s="369"/>
      <c r="U640" s="369"/>
      <c r="V640" s="369"/>
      <c r="W640" s="369"/>
      <c r="X640" s="369"/>
      <c r="Y640" s="369"/>
      <c r="Z640" s="369"/>
    </row>
    <row r="641" spans="1:26" ht="14.25" customHeight="1">
      <c r="A641" s="369"/>
      <c r="B641" s="369"/>
      <c r="C641" s="369"/>
      <c r="D641" s="369"/>
      <c r="E641" s="369"/>
      <c r="F641" s="369"/>
      <c r="G641" s="369"/>
      <c r="H641" s="370"/>
      <c r="I641" s="371"/>
      <c r="J641" s="371"/>
      <c r="K641" s="370"/>
      <c r="L641" s="369"/>
      <c r="M641" s="369"/>
      <c r="N641" s="369"/>
      <c r="O641" s="369"/>
      <c r="P641" s="369"/>
      <c r="Q641" s="369"/>
      <c r="R641" s="369"/>
      <c r="S641" s="369"/>
      <c r="T641" s="369"/>
      <c r="U641" s="369"/>
      <c r="V641" s="369"/>
      <c r="W641" s="369"/>
      <c r="X641" s="369"/>
      <c r="Y641" s="369"/>
      <c r="Z641" s="369"/>
    </row>
    <row r="642" spans="1:26" ht="14.25" customHeight="1">
      <c r="A642" s="369"/>
      <c r="B642" s="369"/>
      <c r="C642" s="369"/>
      <c r="D642" s="369"/>
      <c r="E642" s="369"/>
      <c r="F642" s="369"/>
      <c r="G642" s="369"/>
      <c r="H642" s="370"/>
      <c r="I642" s="371"/>
      <c r="J642" s="371"/>
      <c r="K642" s="370"/>
      <c r="L642" s="369"/>
      <c r="M642" s="369"/>
      <c r="N642" s="369"/>
      <c r="O642" s="369"/>
      <c r="P642" s="369"/>
      <c r="Q642" s="369"/>
      <c r="R642" s="369"/>
      <c r="S642" s="369"/>
      <c r="T642" s="369"/>
      <c r="U642" s="369"/>
      <c r="V642" s="369"/>
      <c r="W642" s="369"/>
      <c r="X642" s="369"/>
      <c r="Y642" s="369"/>
      <c r="Z642" s="369"/>
    </row>
    <row r="643" spans="1:26" ht="14.25" customHeight="1">
      <c r="A643" s="369"/>
      <c r="B643" s="369"/>
      <c r="C643" s="369"/>
      <c r="D643" s="369"/>
      <c r="E643" s="369"/>
      <c r="F643" s="369"/>
      <c r="G643" s="369"/>
      <c r="H643" s="370"/>
      <c r="I643" s="371"/>
      <c r="J643" s="371"/>
      <c r="K643" s="370"/>
      <c r="L643" s="369"/>
      <c r="M643" s="369"/>
      <c r="N643" s="369"/>
      <c r="O643" s="369"/>
      <c r="P643" s="369"/>
      <c r="Q643" s="369"/>
      <c r="R643" s="369"/>
      <c r="S643" s="369"/>
      <c r="T643" s="369"/>
      <c r="U643" s="369"/>
      <c r="V643" s="369"/>
      <c r="W643" s="369"/>
      <c r="X643" s="369"/>
      <c r="Y643" s="369"/>
      <c r="Z643" s="369"/>
    </row>
    <row r="644" spans="1:26" ht="14.25" customHeight="1">
      <c r="A644" s="369"/>
      <c r="B644" s="369"/>
      <c r="C644" s="369"/>
      <c r="D644" s="369"/>
      <c r="E644" s="369"/>
      <c r="F644" s="369"/>
      <c r="G644" s="369"/>
      <c r="H644" s="370"/>
      <c r="I644" s="371"/>
      <c r="J644" s="371"/>
      <c r="K644" s="370"/>
      <c r="L644" s="369"/>
      <c r="M644" s="369"/>
      <c r="N644" s="369"/>
      <c r="O644" s="369"/>
      <c r="P644" s="369"/>
      <c r="Q644" s="369"/>
      <c r="R644" s="369"/>
      <c r="S644" s="369"/>
      <c r="T644" s="369"/>
      <c r="U644" s="369"/>
      <c r="V644" s="369"/>
      <c r="W644" s="369"/>
      <c r="X644" s="369"/>
      <c r="Y644" s="369"/>
      <c r="Z644" s="369"/>
    </row>
    <row r="645" spans="1:26" ht="14.25" customHeight="1">
      <c r="A645" s="369"/>
      <c r="B645" s="369"/>
      <c r="C645" s="369"/>
      <c r="D645" s="369"/>
      <c r="E645" s="369"/>
      <c r="F645" s="369"/>
      <c r="G645" s="369"/>
      <c r="H645" s="370"/>
      <c r="I645" s="371"/>
      <c r="J645" s="371"/>
      <c r="K645" s="370"/>
      <c r="L645" s="369"/>
      <c r="M645" s="369"/>
      <c r="N645" s="369"/>
      <c r="O645" s="369"/>
      <c r="P645" s="369"/>
      <c r="Q645" s="369"/>
      <c r="R645" s="369"/>
      <c r="S645" s="369"/>
      <c r="T645" s="369"/>
      <c r="U645" s="369"/>
      <c r="V645" s="369"/>
      <c r="W645" s="369"/>
      <c r="X645" s="369"/>
      <c r="Y645" s="369"/>
      <c r="Z645" s="369"/>
    </row>
    <row r="646" spans="1:26" ht="14.25" customHeight="1">
      <c r="A646" s="369"/>
      <c r="B646" s="369"/>
      <c r="C646" s="369"/>
      <c r="D646" s="369"/>
      <c r="E646" s="369"/>
      <c r="F646" s="369"/>
      <c r="G646" s="369"/>
      <c r="H646" s="370"/>
      <c r="I646" s="371"/>
      <c r="J646" s="371"/>
      <c r="K646" s="370"/>
      <c r="L646" s="369"/>
      <c r="M646" s="369"/>
      <c r="N646" s="369"/>
      <c r="O646" s="369"/>
      <c r="P646" s="369"/>
      <c r="Q646" s="369"/>
      <c r="R646" s="369"/>
      <c r="S646" s="369"/>
      <c r="T646" s="369"/>
      <c r="U646" s="369"/>
      <c r="V646" s="369"/>
      <c r="W646" s="369"/>
      <c r="X646" s="369"/>
      <c r="Y646" s="369"/>
      <c r="Z646" s="369"/>
    </row>
    <row r="647" spans="1:26" ht="14.25" customHeight="1">
      <c r="A647" s="369"/>
      <c r="B647" s="369"/>
      <c r="C647" s="369"/>
      <c r="D647" s="369"/>
      <c r="E647" s="369"/>
      <c r="F647" s="369"/>
      <c r="G647" s="369"/>
      <c r="H647" s="370"/>
      <c r="I647" s="371"/>
      <c r="J647" s="371"/>
      <c r="K647" s="370"/>
      <c r="L647" s="369"/>
      <c r="M647" s="369"/>
      <c r="N647" s="369"/>
      <c r="O647" s="369"/>
      <c r="P647" s="369"/>
      <c r="Q647" s="369"/>
      <c r="R647" s="369"/>
      <c r="S647" s="369"/>
      <c r="T647" s="369"/>
      <c r="U647" s="369"/>
      <c r="V647" s="369"/>
      <c r="W647" s="369"/>
      <c r="X647" s="369"/>
      <c r="Y647" s="369"/>
      <c r="Z647" s="369"/>
    </row>
    <row r="648" spans="1:26" ht="14.25" customHeight="1">
      <c r="A648" s="369"/>
      <c r="B648" s="369"/>
      <c r="C648" s="369"/>
      <c r="D648" s="369"/>
      <c r="E648" s="369"/>
      <c r="F648" s="369"/>
      <c r="G648" s="369"/>
      <c r="H648" s="370"/>
      <c r="I648" s="371"/>
      <c r="J648" s="371"/>
      <c r="K648" s="370"/>
      <c r="L648" s="369"/>
      <c r="M648" s="369"/>
      <c r="N648" s="369"/>
      <c r="O648" s="369"/>
      <c r="P648" s="369"/>
      <c r="Q648" s="369"/>
      <c r="R648" s="369"/>
      <c r="S648" s="369"/>
      <c r="T648" s="369"/>
      <c r="U648" s="369"/>
      <c r="V648" s="369"/>
      <c r="W648" s="369"/>
      <c r="X648" s="369"/>
      <c r="Y648" s="369"/>
      <c r="Z648" s="369"/>
    </row>
    <row r="649" spans="1:26" ht="14.25" customHeight="1">
      <c r="A649" s="369"/>
      <c r="B649" s="369"/>
      <c r="C649" s="369"/>
      <c r="D649" s="369"/>
      <c r="E649" s="369"/>
      <c r="F649" s="369"/>
      <c r="G649" s="369"/>
      <c r="H649" s="370"/>
      <c r="I649" s="371"/>
      <c r="J649" s="371"/>
      <c r="K649" s="370"/>
      <c r="L649" s="369"/>
      <c r="M649" s="369"/>
      <c r="N649" s="369"/>
      <c r="O649" s="369"/>
      <c r="P649" s="369"/>
      <c r="Q649" s="369"/>
      <c r="R649" s="369"/>
      <c r="S649" s="369"/>
      <c r="T649" s="369"/>
      <c r="U649" s="369"/>
      <c r="V649" s="369"/>
      <c r="W649" s="369"/>
      <c r="X649" s="369"/>
      <c r="Y649" s="369"/>
      <c r="Z649" s="369"/>
    </row>
    <row r="650" spans="1:26" ht="14.25" customHeight="1">
      <c r="A650" s="369"/>
      <c r="B650" s="369"/>
      <c r="C650" s="369"/>
      <c r="D650" s="369"/>
      <c r="E650" s="369"/>
      <c r="F650" s="369"/>
      <c r="G650" s="369"/>
      <c r="H650" s="370"/>
      <c r="I650" s="371"/>
      <c r="J650" s="371"/>
      <c r="K650" s="370"/>
      <c r="L650" s="369"/>
      <c r="M650" s="369"/>
      <c r="N650" s="369"/>
      <c r="O650" s="369"/>
      <c r="P650" s="369"/>
      <c r="Q650" s="369"/>
      <c r="R650" s="369"/>
      <c r="S650" s="369"/>
      <c r="T650" s="369"/>
      <c r="U650" s="369"/>
      <c r="V650" s="369"/>
      <c r="W650" s="369"/>
      <c r="X650" s="369"/>
      <c r="Y650" s="369"/>
      <c r="Z650" s="369"/>
    </row>
    <row r="651" spans="1:26" ht="14.25" customHeight="1">
      <c r="A651" s="369"/>
      <c r="B651" s="369"/>
      <c r="C651" s="369"/>
      <c r="D651" s="369"/>
      <c r="E651" s="369"/>
      <c r="F651" s="369"/>
      <c r="G651" s="369"/>
      <c r="H651" s="370"/>
      <c r="I651" s="371"/>
      <c r="J651" s="371"/>
      <c r="K651" s="370"/>
      <c r="L651" s="369"/>
      <c r="M651" s="369"/>
      <c r="N651" s="369"/>
      <c r="O651" s="369"/>
      <c r="P651" s="369"/>
      <c r="Q651" s="369"/>
      <c r="R651" s="369"/>
      <c r="S651" s="369"/>
      <c r="T651" s="369"/>
      <c r="U651" s="369"/>
      <c r="V651" s="369"/>
      <c r="W651" s="369"/>
      <c r="X651" s="369"/>
      <c r="Y651" s="369"/>
      <c r="Z651" s="369"/>
    </row>
    <row r="652" spans="1:26" ht="14.25" customHeight="1">
      <c r="A652" s="369"/>
      <c r="B652" s="369"/>
      <c r="C652" s="369"/>
      <c r="D652" s="369"/>
      <c r="E652" s="369"/>
      <c r="F652" s="369"/>
      <c r="G652" s="369"/>
      <c r="H652" s="370"/>
      <c r="I652" s="371"/>
      <c r="J652" s="371"/>
      <c r="K652" s="370"/>
      <c r="L652" s="369"/>
      <c r="M652" s="369"/>
      <c r="N652" s="369"/>
      <c r="O652" s="369"/>
      <c r="P652" s="369"/>
      <c r="Q652" s="369"/>
      <c r="R652" s="369"/>
      <c r="S652" s="369"/>
      <c r="T652" s="369"/>
      <c r="U652" s="369"/>
      <c r="V652" s="369"/>
      <c r="W652" s="369"/>
      <c r="X652" s="369"/>
      <c r="Y652" s="369"/>
      <c r="Z652" s="369"/>
    </row>
    <row r="653" spans="1:26" ht="14.25" customHeight="1">
      <c r="A653" s="369"/>
      <c r="B653" s="369"/>
      <c r="C653" s="369"/>
      <c r="D653" s="369"/>
      <c r="E653" s="369"/>
      <c r="F653" s="369"/>
      <c r="G653" s="369"/>
      <c r="H653" s="370"/>
      <c r="I653" s="371"/>
      <c r="J653" s="371"/>
      <c r="K653" s="370"/>
      <c r="L653" s="369"/>
      <c r="M653" s="369"/>
      <c r="N653" s="369"/>
      <c r="O653" s="369"/>
      <c r="P653" s="369"/>
      <c r="Q653" s="369"/>
      <c r="R653" s="369"/>
      <c r="S653" s="369"/>
      <c r="T653" s="369"/>
      <c r="U653" s="369"/>
      <c r="V653" s="369"/>
      <c r="W653" s="369"/>
      <c r="X653" s="369"/>
      <c r="Y653" s="369"/>
      <c r="Z653" s="369"/>
    </row>
    <row r="654" spans="1:26" ht="14.25" customHeight="1">
      <c r="A654" s="369"/>
      <c r="B654" s="369"/>
      <c r="C654" s="369"/>
      <c r="D654" s="369"/>
      <c r="E654" s="369"/>
      <c r="F654" s="369"/>
      <c r="G654" s="369"/>
      <c r="H654" s="370"/>
      <c r="I654" s="371"/>
      <c r="J654" s="371"/>
      <c r="K654" s="370"/>
      <c r="L654" s="369"/>
      <c r="M654" s="369"/>
      <c r="N654" s="369"/>
      <c r="O654" s="369"/>
      <c r="P654" s="369"/>
      <c r="Q654" s="369"/>
      <c r="R654" s="369"/>
      <c r="S654" s="369"/>
      <c r="T654" s="369"/>
      <c r="U654" s="369"/>
      <c r="V654" s="369"/>
      <c r="W654" s="369"/>
      <c r="X654" s="369"/>
      <c r="Y654" s="369"/>
      <c r="Z654" s="369"/>
    </row>
    <row r="655" spans="1:26" ht="14.25" customHeight="1">
      <c r="A655" s="369"/>
      <c r="B655" s="369"/>
      <c r="C655" s="369"/>
      <c r="D655" s="369"/>
      <c r="E655" s="369"/>
      <c r="F655" s="369"/>
      <c r="G655" s="369"/>
      <c r="H655" s="370"/>
      <c r="I655" s="371"/>
      <c r="J655" s="371"/>
      <c r="K655" s="370"/>
      <c r="L655" s="369"/>
      <c r="M655" s="369"/>
      <c r="N655" s="369"/>
      <c r="O655" s="369"/>
      <c r="P655" s="369"/>
      <c r="Q655" s="369"/>
      <c r="R655" s="369"/>
      <c r="S655" s="369"/>
      <c r="T655" s="369"/>
      <c r="U655" s="369"/>
      <c r="V655" s="369"/>
      <c r="W655" s="369"/>
      <c r="X655" s="369"/>
      <c r="Y655" s="369"/>
      <c r="Z655" s="369"/>
    </row>
    <row r="656" spans="1:26" ht="14.25" customHeight="1">
      <c r="A656" s="369"/>
      <c r="B656" s="369"/>
      <c r="C656" s="369"/>
      <c r="D656" s="369"/>
      <c r="E656" s="369"/>
      <c r="F656" s="369"/>
      <c r="G656" s="369"/>
      <c r="H656" s="370"/>
      <c r="I656" s="371"/>
      <c r="J656" s="371"/>
      <c r="K656" s="370"/>
      <c r="L656" s="369"/>
      <c r="M656" s="369"/>
      <c r="N656" s="369"/>
      <c r="O656" s="369"/>
      <c r="P656" s="369"/>
      <c r="Q656" s="369"/>
      <c r="R656" s="369"/>
      <c r="S656" s="369"/>
      <c r="T656" s="369"/>
      <c r="U656" s="369"/>
      <c r="V656" s="369"/>
      <c r="W656" s="369"/>
      <c r="X656" s="369"/>
      <c r="Y656" s="369"/>
      <c r="Z656" s="369"/>
    </row>
    <row r="657" spans="1:26" ht="14.25" customHeight="1">
      <c r="A657" s="369"/>
      <c r="B657" s="369"/>
      <c r="C657" s="369"/>
      <c r="D657" s="369"/>
      <c r="E657" s="369"/>
      <c r="F657" s="369"/>
      <c r="G657" s="369"/>
      <c r="H657" s="370"/>
      <c r="I657" s="371"/>
      <c r="J657" s="371"/>
      <c r="K657" s="370"/>
      <c r="L657" s="369"/>
      <c r="M657" s="369"/>
      <c r="N657" s="369"/>
      <c r="O657" s="369"/>
      <c r="P657" s="369"/>
      <c r="Q657" s="369"/>
      <c r="R657" s="369"/>
      <c r="S657" s="369"/>
      <c r="T657" s="369"/>
      <c r="U657" s="369"/>
      <c r="V657" s="369"/>
      <c r="W657" s="369"/>
      <c r="X657" s="369"/>
      <c r="Y657" s="369"/>
      <c r="Z657" s="369"/>
    </row>
    <row r="658" spans="1:26" ht="14.25" customHeight="1">
      <c r="A658" s="369"/>
      <c r="B658" s="369"/>
      <c r="C658" s="369"/>
      <c r="D658" s="369"/>
      <c r="E658" s="369"/>
      <c r="F658" s="369"/>
      <c r="G658" s="369"/>
      <c r="H658" s="370"/>
      <c r="I658" s="371"/>
      <c r="J658" s="371"/>
      <c r="K658" s="370"/>
      <c r="L658" s="369"/>
      <c r="M658" s="369"/>
      <c r="N658" s="369"/>
      <c r="O658" s="369"/>
      <c r="P658" s="369"/>
      <c r="Q658" s="369"/>
      <c r="R658" s="369"/>
      <c r="S658" s="369"/>
      <c r="T658" s="369"/>
      <c r="U658" s="369"/>
      <c r="V658" s="369"/>
      <c r="W658" s="369"/>
      <c r="X658" s="369"/>
      <c r="Y658" s="369"/>
      <c r="Z658" s="369"/>
    </row>
    <row r="659" spans="1:26" ht="14.25" customHeight="1">
      <c r="A659" s="369"/>
      <c r="B659" s="369"/>
      <c r="C659" s="369"/>
      <c r="D659" s="369"/>
      <c r="E659" s="369"/>
      <c r="F659" s="369"/>
      <c r="G659" s="369"/>
      <c r="H659" s="370"/>
      <c r="I659" s="371"/>
      <c r="J659" s="371"/>
      <c r="K659" s="370"/>
      <c r="L659" s="369"/>
      <c r="M659" s="369"/>
      <c r="N659" s="369"/>
      <c r="O659" s="369"/>
      <c r="P659" s="369"/>
      <c r="Q659" s="369"/>
      <c r="R659" s="369"/>
      <c r="S659" s="369"/>
      <c r="T659" s="369"/>
      <c r="U659" s="369"/>
      <c r="V659" s="369"/>
      <c r="W659" s="369"/>
      <c r="X659" s="369"/>
      <c r="Y659" s="369"/>
      <c r="Z659" s="369"/>
    </row>
    <row r="660" spans="1:26" ht="14.25" customHeight="1">
      <c r="A660" s="369"/>
      <c r="B660" s="369"/>
      <c r="C660" s="369"/>
      <c r="D660" s="369"/>
      <c r="E660" s="369"/>
      <c r="F660" s="369"/>
      <c r="G660" s="369"/>
      <c r="H660" s="370"/>
      <c r="I660" s="371"/>
      <c r="J660" s="371"/>
      <c r="K660" s="370"/>
      <c r="L660" s="369"/>
      <c r="M660" s="369"/>
      <c r="N660" s="369"/>
      <c r="O660" s="369"/>
      <c r="P660" s="369"/>
      <c r="Q660" s="369"/>
      <c r="R660" s="369"/>
      <c r="S660" s="369"/>
      <c r="T660" s="369"/>
      <c r="U660" s="369"/>
      <c r="V660" s="369"/>
      <c r="W660" s="369"/>
      <c r="X660" s="369"/>
      <c r="Y660" s="369"/>
      <c r="Z660" s="369"/>
    </row>
    <row r="661" spans="1:26" ht="14.25" customHeight="1">
      <c r="A661" s="369"/>
      <c r="B661" s="369"/>
      <c r="C661" s="369"/>
      <c r="D661" s="369"/>
      <c r="E661" s="369"/>
      <c r="F661" s="369"/>
      <c r="G661" s="369"/>
      <c r="H661" s="370"/>
      <c r="I661" s="371"/>
      <c r="J661" s="371"/>
      <c r="K661" s="370"/>
      <c r="L661" s="369"/>
      <c r="M661" s="369"/>
      <c r="N661" s="369"/>
      <c r="O661" s="369"/>
      <c r="P661" s="369"/>
      <c r="Q661" s="369"/>
      <c r="R661" s="369"/>
      <c r="S661" s="369"/>
      <c r="T661" s="369"/>
      <c r="U661" s="369"/>
      <c r="V661" s="369"/>
      <c r="W661" s="369"/>
      <c r="X661" s="369"/>
      <c r="Y661" s="369"/>
      <c r="Z661" s="369"/>
    </row>
    <row r="662" spans="1:26" ht="14.25" customHeight="1">
      <c r="A662" s="369"/>
      <c r="B662" s="369"/>
      <c r="C662" s="369"/>
      <c r="D662" s="369"/>
      <c r="E662" s="369"/>
      <c r="F662" s="369"/>
      <c r="G662" s="369"/>
      <c r="H662" s="370"/>
      <c r="I662" s="371"/>
      <c r="J662" s="371"/>
      <c r="K662" s="370"/>
      <c r="L662" s="369"/>
      <c r="M662" s="369"/>
      <c r="N662" s="369"/>
      <c r="O662" s="369"/>
      <c r="P662" s="369"/>
      <c r="Q662" s="369"/>
      <c r="R662" s="369"/>
      <c r="S662" s="369"/>
      <c r="T662" s="369"/>
      <c r="U662" s="369"/>
      <c r="V662" s="369"/>
      <c r="W662" s="369"/>
      <c r="X662" s="369"/>
      <c r="Y662" s="369"/>
      <c r="Z662" s="369"/>
    </row>
    <row r="663" spans="1:26" ht="14.25" customHeight="1">
      <c r="A663" s="369"/>
      <c r="B663" s="369"/>
      <c r="C663" s="369"/>
      <c r="D663" s="369"/>
      <c r="E663" s="369"/>
      <c r="F663" s="369"/>
      <c r="G663" s="369"/>
      <c r="H663" s="370"/>
      <c r="I663" s="371"/>
      <c r="J663" s="371"/>
      <c r="K663" s="370"/>
      <c r="L663" s="369"/>
      <c r="M663" s="369"/>
      <c r="N663" s="369"/>
      <c r="O663" s="369"/>
      <c r="P663" s="369"/>
      <c r="Q663" s="369"/>
      <c r="R663" s="369"/>
      <c r="S663" s="369"/>
      <c r="T663" s="369"/>
      <c r="U663" s="369"/>
      <c r="V663" s="369"/>
      <c r="W663" s="369"/>
      <c r="X663" s="369"/>
      <c r="Y663" s="369"/>
      <c r="Z663" s="369"/>
    </row>
    <row r="664" spans="1:26" ht="14.25" customHeight="1">
      <c r="A664" s="369"/>
      <c r="B664" s="369"/>
      <c r="C664" s="369"/>
      <c r="D664" s="369"/>
      <c r="E664" s="369"/>
      <c r="F664" s="369"/>
      <c r="G664" s="369"/>
      <c r="H664" s="370"/>
      <c r="I664" s="371"/>
      <c r="J664" s="371"/>
      <c r="K664" s="370"/>
      <c r="L664" s="369"/>
      <c r="M664" s="369"/>
      <c r="N664" s="369"/>
      <c r="O664" s="369"/>
      <c r="P664" s="369"/>
      <c r="Q664" s="369"/>
      <c r="R664" s="369"/>
      <c r="S664" s="369"/>
      <c r="T664" s="369"/>
      <c r="U664" s="369"/>
      <c r="V664" s="369"/>
      <c r="W664" s="369"/>
      <c r="X664" s="369"/>
      <c r="Y664" s="369"/>
      <c r="Z664" s="369"/>
    </row>
    <row r="665" spans="1:26" ht="14.25" customHeight="1">
      <c r="A665" s="369"/>
      <c r="B665" s="369"/>
      <c r="C665" s="369"/>
      <c r="D665" s="369"/>
      <c r="E665" s="369"/>
      <c r="F665" s="369"/>
      <c r="G665" s="369"/>
      <c r="H665" s="370"/>
      <c r="I665" s="371"/>
      <c r="J665" s="371"/>
      <c r="K665" s="370"/>
      <c r="L665" s="369"/>
      <c r="M665" s="369"/>
      <c r="N665" s="369"/>
      <c r="O665" s="369"/>
      <c r="P665" s="369"/>
      <c r="Q665" s="369"/>
      <c r="R665" s="369"/>
      <c r="S665" s="369"/>
      <c r="T665" s="369"/>
      <c r="U665" s="369"/>
      <c r="V665" s="369"/>
      <c r="W665" s="369"/>
      <c r="X665" s="369"/>
      <c r="Y665" s="369"/>
      <c r="Z665" s="369"/>
    </row>
    <row r="666" spans="1:26" ht="14.25" customHeight="1">
      <c r="A666" s="369"/>
      <c r="B666" s="369"/>
      <c r="C666" s="369"/>
      <c r="D666" s="369"/>
      <c r="E666" s="369"/>
      <c r="F666" s="369"/>
      <c r="G666" s="369"/>
      <c r="H666" s="370"/>
      <c r="I666" s="371"/>
      <c r="J666" s="371"/>
      <c r="K666" s="370"/>
      <c r="L666" s="369"/>
      <c r="M666" s="369"/>
      <c r="N666" s="369"/>
      <c r="O666" s="369"/>
      <c r="P666" s="369"/>
      <c r="Q666" s="369"/>
      <c r="R666" s="369"/>
      <c r="S666" s="369"/>
      <c r="T666" s="369"/>
      <c r="U666" s="369"/>
      <c r="V666" s="369"/>
      <c r="W666" s="369"/>
      <c r="X666" s="369"/>
      <c r="Y666" s="369"/>
      <c r="Z666" s="369"/>
    </row>
    <row r="667" spans="1:26" ht="14.25" customHeight="1">
      <c r="A667" s="369"/>
      <c r="B667" s="369"/>
      <c r="C667" s="369"/>
      <c r="D667" s="369"/>
      <c r="E667" s="369"/>
      <c r="F667" s="369"/>
      <c r="G667" s="369"/>
      <c r="H667" s="370"/>
      <c r="I667" s="371"/>
      <c r="J667" s="371"/>
      <c r="K667" s="370"/>
      <c r="L667" s="369"/>
      <c r="M667" s="369"/>
      <c r="N667" s="369"/>
      <c r="O667" s="369"/>
      <c r="P667" s="369"/>
      <c r="Q667" s="369"/>
      <c r="R667" s="369"/>
      <c r="S667" s="369"/>
      <c r="T667" s="369"/>
      <c r="U667" s="369"/>
      <c r="V667" s="369"/>
      <c r="W667" s="369"/>
      <c r="X667" s="369"/>
      <c r="Y667" s="369"/>
      <c r="Z667" s="369"/>
    </row>
    <row r="668" spans="1:26" ht="14.25" customHeight="1">
      <c r="A668" s="369"/>
      <c r="B668" s="369"/>
      <c r="C668" s="369"/>
      <c r="D668" s="369"/>
      <c r="E668" s="369"/>
      <c r="F668" s="369"/>
      <c r="G668" s="369"/>
      <c r="H668" s="370"/>
      <c r="I668" s="371"/>
      <c r="J668" s="371"/>
      <c r="K668" s="370"/>
      <c r="L668" s="369"/>
      <c r="M668" s="369"/>
      <c r="N668" s="369"/>
      <c r="O668" s="369"/>
      <c r="P668" s="369"/>
      <c r="Q668" s="369"/>
      <c r="R668" s="369"/>
      <c r="S668" s="369"/>
      <c r="T668" s="369"/>
      <c r="U668" s="369"/>
      <c r="V668" s="369"/>
      <c r="W668" s="369"/>
      <c r="X668" s="369"/>
      <c r="Y668" s="369"/>
      <c r="Z668" s="369"/>
    </row>
    <row r="669" spans="1:26" ht="14.25" customHeight="1">
      <c r="A669" s="369"/>
      <c r="B669" s="369"/>
      <c r="C669" s="369"/>
      <c r="D669" s="369"/>
      <c r="E669" s="369"/>
      <c r="F669" s="369"/>
      <c r="G669" s="369"/>
      <c r="H669" s="370"/>
      <c r="I669" s="371"/>
      <c r="J669" s="371"/>
      <c r="K669" s="370"/>
      <c r="L669" s="369"/>
      <c r="M669" s="369"/>
      <c r="N669" s="369"/>
      <c r="O669" s="369"/>
      <c r="P669" s="369"/>
      <c r="Q669" s="369"/>
      <c r="R669" s="369"/>
      <c r="S669" s="369"/>
      <c r="T669" s="369"/>
      <c r="U669" s="369"/>
      <c r="V669" s="369"/>
      <c r="W669" s="369"/>
      <c r="X669" s="369"/>
      <c r="Y669" s="369"/>
      <c r="Z669" s="369"/>
    </row>
    <row r="670" spans="1:26" ht="14.25" customHeight="1">
      <c r="A670" s="369"/>
      <c r="B670" s="369"/>
      <c r="C670" s="369"/>
      <c r="D670" s="369"/>
      <c r="E670" s="369"/>
      <c r="F670" s="369"/>
      <c r="G670" s="369"/>
      <c r="H670" s="370"/>
      <c r="I670" s="371"/>
      <c r="J670" s="371"/>
      <c r="K670" s="370"/>
      <c r="L670" s="369"/>
      <c r="M670" s="369"/>
      <c r="N670" s="369"/>
      <c r="O670" s="369"/>
      <c r="P670" s="369"/>
      <c r="Q670" s="369"/>
      <c r="R670" s="369"/>
      <c r="S670" s="369"/>
      <c r="T670" s="369"/>
      <c r="U670" s="369"/>
      <c r="V670" s="369"/>
      <c r="W670" s="369"/>
      <c r="X670" s="369"/>
      <c r="Y670" s="369"/>
      <c r="Z670" s="369"/>
    </row>
    <row r="671" spans="1:26" ht="14.25" customHeight="1">
      <c r="A671" s="369"/>
      <c r="B671" s="369"/>
      <c r="C671" s="369"/>
      <c r="D671" s="369"/>
      <c r="E671" s="369"/>
      <c r="F671" s="369"/>
      <c r="G671" s="369"/>
      <c r="H671" s="370"/>
      <c r="I671" s="371"/>
      <c r="J671" s="371"/>
      <c r="K671" s="370"/>
      <c r="L671" s="369"/>
      <c r="M671" s="369"/>
      <c r="N671" s="369"/>
      <c r="O671" s="369"/>
      <c r="P671" s="369"/>
      <c r="Q671" s="369"/>
      <c r="R671" s="369"/>
      <c r="S671" s="369"/>
      <c r="T671" s="369"/>
      <c r="U671" s="369"/>
      <c r="V671" s="369"/>
      <c r="W671" s="369"/>
      <c r="X671" s="369"/>
      <c r="Y671" s="369"/>
      <c r="Z671" s="369"/>
    </row>
    <row r="672" spans="1:26" ht="14.25" customHeight="1">
      <c r="A672" s="369"/>
      <c r="B672" s="369"/>
      <c r="C672" s="369"/>
      <c r="D672" s="369"/>
      <c r="E672" s="369"/>
      <c r="F672" s="369"/>
      <c r="G672" s="369"/>
      <c r="H672" s="370"/>
      <c r="I672" s="371"/>
      <c r="J672" s="371"/>
      <c r="K672" s="370"/>
      <c r="L672" s="369"/>
      <c r="M672" s="369"/>
      <c r="N672" s="369"/>
      <c r="O672" s="369"/>
      <c r="P672" s="369"/>
      <c r="Q672" s="369"/>
      <c r="R672" s="369"/>
      <c r="S672" s="369"/>
      <c r="T672" s="369"/>
      <c r="U672" s="369"/>
      <c r="V672" s="369"/>
      <c r="W672" s="369"/>
      <c r="X672" s="369"/>
      <c r="Y672" s="369"/>
      <c r="Z672" s="369"/>
    </row>
    <row r="673" spans="1:26" ht="14.25" customHeight="1">
      <c r="A673" s="369"/>
      <c r="B673" s="369"/>
      <c r="C673" s="369"/>
      <c r="D673" s="369"/>
      <c r="E673" s="369"/>
      <c r="F673" s="369"/>
      <c r="G673" s="369"/>
      <c r="H673" s="370"/>
      <c r="I673" s="371"/>
      <c r="J673" s="371"/>
      <c r="K673" s="370"/>
      <c r="L673" s="369"/>
      <c r="M673" s="369"/>
      <c r="N673" s="369"/>
      <c r="O673" s="369"/>
      <c r="P673" s="369"/>
      <c r="Q673" s="369"/>
      <c r="R673" s="369"/>
      <c r="S673" s="369"/>
      <c r="T673" s="369"/>
      <c r="U673" s="369"/>
      <c r="V673" s="369"/>
      <c r="W673" s="369"/>
      <c r="X673" s="369"/>
      <c r="Y673" s="369"/>
      <c r="Z673" s="369"/>
    </row>
    <row r="674" spans="1:26" ht="14.25" customHeight="1">
      <c r="A674" s="369"/>
      <c r="B674" s="369"/>
      <c r="C674" s="369"/>
      <c r="D674" s="369"/>
      <c r="E674" s="369"/>
      <c r="F674" s="369"/>
      <c r="G674" s="369"/>
      <c r="H674" s="370"/>
      <c r="I674" s="371"/>
      <c r="J674" s="371"/>
      <c r="K674" s="370"/>
      <c r="L674" s="369"/>
      <c r="M674" s="369"/>
      <c r="N674" s="369"/>
      <c r="O674" s="369"/>
      <c r="P674" s="369"/>
      <c r="Q674" s="369"/>
      <c r="R674" s="369"/>
      <c r="S674" s="369"/>
      <c r="T674" s="369"/>
      <c r="U674" s="369"/>
      <c r="V674" s="369"/>
      <c r="W674" s="369"/>
      <c r="X674" s="369"/>
      <c r="Y674" s="369"/>
      <c r="Z674" s="369"/>
    </row>
    <row r="675" spans="1:26" ht="14.25" customHeight="1">
      <c r="A675" s="369"/>
      <c r="B675" s="369"/>
      <c r="C675" s="369"/>
      <c r="D675" s="369"/>
      <c r="E675" s="369"/>
      <c r="F675" s="369"/>
      <c r="G675" s="369"/>
      <c r="H675" s="370"/>
      <c r="I675" s="371"/>
      <c r="J675" s="371"/>
      <c r="K675" s="370"/>
      <c r="L675" s="369"/>
      <c r="M675" s="369"/>
      <c r="N675" s="369"/>
      <c r="O675" s="369"/>
      <c r="P675" s="369"/>
      <c r="Q675" s="369"/>
      <c r="R675" s="369"/>
      <c r="S675" s="369"/>
      <c r="T675" s="369"/>
      <c r="U675" s="369"/>
      <c r="V675" s="369"/>
      <c r="W675" s="369"/>
      <c r="X675" s="369"/>
      <c r="Y675" s="369"/>
      <c r="Z675" s="369"/>
    </row>
    <row r="676" spans="1:26" ht="14.25" customHeight="1">
      <c r="A676" s="369"/>
      <c r="B676" s="369"/>
      <c r="C676" s="369"/>
      <c r="D676" s="369"/>
      <c r="E676" s="369"/>
      <c r="F676" s="369"/>
      <c r="G676" s="369"/>
      <c r="H676" s="370"/>
      <c r="I676" s="371"/>
      <c r="J676" s="371"/>
      <c r="K676" s="370"/>
      <c r="L676" s="369"/>
      <c r="M676" s="369"/>
      <c r="N676" s="369"/>
      <c r="O676" s="369"/>
      <c r="P676" s="369"/>
      <c r="Q676" s="369"/>
      <c r="R676" s="369"/>
      <c r="S676" s="369"/>
      <c r="T676" s="369"/>
      <c r="U676" s="369"/>
      <c r="V676" s="369"/>
      <c r="W676" s="369"/>
      <c r="X676" s="369"/>
      <c r="Y676" s="369"/>
      <c r="Z676" s="369"/>
    </row>
    <row r="677" spans="1:26" ht="14.25" customHeight="1">
      <c r="A677" s="369"/>
      <c r="B677" s="369"/>
      <c r="C677" s="369"/>
      <c r="D677" s="369"/>
      <c r="E677" s="369"/>
      <c r="F677" s="369"/>
      <c r="G677" s="369"/>
      <c r="H677" s="370"/>
      <c r="I677" s="371"/>
      <c r="J677" s="371"/>
      <c r="K677" s="370"/>
      <c r="L677" s="369"/>
      <c r="M677" s="369"/>
      <c r="N677" s="369"/>
      <c r="O677" s="369"/>
      <c r="P677" s="369"/>
      <c r="Q677" s="369"/>
      <c r="R677" s="369"/>
      <c r="S677" s="369"/>
      <c r="T677" s="369"/>
      <c r="U677" s="369"/>
      <c r="V677" s="369"/>
      <c r="W677" s="369"/>
      <c r="X677" s="369"/>
      <c r="Y677" s="369"/>
      <c r="Z677" s="369"/>
    </row>
    <row r="678" spans="1:26" ht="14.25" customHeight="1">
      <c r="A678" s="369"/>
      <c r="B678" s="369"/>
      <c r="C678" s="369"/>
      <c r="D678" s="369"/>
      <c r="E678" s="369"/>
      <c r="F678" s="369"/>
      <c r="G678" s="369"/>
      <c r="H678" s="370"/>
      <c r="I678" s="371"/>
      <c r="J678" s="371"/>
      <c r="K678" s="370"/>
      <c r="L678" s="369"/>
      <c r="M678" s="369"/>
      <c r="N678" s="369"/>
      <c r="O678" s="369"/>
      <c r="P678" s="369"/>
      <c r="Q678" s="369"/>
      <c r="R678" s="369"/>
      <c r="S678" s="369"/>
      <c r="T678" s="369"/>
      <c r="U678" s="369"/>
      <c r="V678" s="369"/>
      <c r="W678" s="369"/>
      <c r="X678" s="369"/>
      <c r="Y678" s="369"/>
      <c r="Z678" s="369"/>
    </row>
    <row r="679" spans="1:26" ht="14.25" customHeight="1">
      <c r="A679" s="369"/>
      <c r="B679" s="369"/>
      <c r="C679" s="369"/>
      <c r="D679" s="369"/>
      <c r="E679" s="369"/>
      <c r="F679" s="369"/>
      <c r="G679" s="369"/>
      <c r="H679" s="370"/>
      <c r="I679" s="371"/>
      <c r="J679" s="371"/>
      <c r="K679" s="370"/>
      <c r="L679" s="369"/>
      <c r="M679" s="369"/>
      <c r="N679" s="369"/>
      <c r="O679" s="369"/>
      <c r="P679" s="369"/>
      <c r="Q679" s="369"/>
      <c r="R679" s="369"/>
      <c r="S679" s="369"/>
      <c r="T679" s="369"/>
      <c r="U679" s="369"/>
      <c r="V679" s="369"/>
      <c r="W679" s="369"/>
      <c r="X679" s="369"/>
      <c r="Y679" s="369"/>
      <c r="Z679" s="369"/>
    </row>
    <row r="680" spans="1:26" ht="14.25" customHeight="1">
      <c r="A680" s="369"/>
      <c r="B680" s="369"/>
      <c r="C680" s="369"/>
      <c r="D680" s="369"/>
      <c r="E680" s="369"/>
      <c r="F680" s="369"/>
      <c r="G680" s="369"/>
      <c r="H680" s="370"/>
      <c r="I680" s="371"/>
      <c r="J680" s="371"/>
      <c r="K680" s="370"/>
      <c r="L680" s="369"/>
      <c r="M680" s="369"/>
      <c r="N680" s="369"/>
      <c r="O680" s="369"/>
      <c r="P680" s="369"/>
      <c r="Q680" s="369"/>
      <c r="R680" s="369"/>
      <c r="S680" s="369"/>
      <c r="T680" s="369"/>
      <c r="U680" s="369"/>
      <c r="V680" s="369"/>
      <c r="W680" s="369"/>
      <c r="X680" s="369"/>
      <c r="Y680" s="369"/>
      <c r="Z680" s="369"/>
    </row>
    <row r="681" spans="1:26" ht="14.25" customHeight="1">
      <c r="A681" s="369"/>
      <c r="B681" s="369"/>
      <c r="C681" s="369"/>
      <c r="D681" s="369"/>
      <c r="E681" s="369"/>
      <c r="F681" s="369"/>
      <c r="G681" s="369"/>
      <c r="H681" s="370"/>
      <c r="I681" s="371"/>
      <c r="J681" s="371"/>
      <c r="K681" s="370"/>
      <c r="L681" s="369"/>
      <c r="M681" s="369"/>
      <c r="N681" s="369"/>
      <c r="O681" s="369"/>
      <c r="P681" s="369"/>
      <c r="Q681" s="369"/>
      <c r="R681" s="369"/>
      <c r="S681" s="369"/>
      <c r="T681" s="369"/>
      <c r="U681" s="369"/>
      <c r="V681" s="369"/>
      <c r="W681" s="369"/>
      <c r="X681" s="369"/>
      <c r="Y681" s="369"/>
      <c r="Z681" s="369"/>
    </row>
    <row r="682" spans="1:26" ht="14.25" customHeight="1">
      <c r="A682" s="369"/>
      <c r="B682" s="369"/>
      <c r="C682" s="369"/>
      <c r="D682" s="369"/>
      <c r="E682" s="369"/>
      <c r="F682" s="369"/>
      <c r="G682" s="369"/>
      <c r="H682" s="370"/>
      <c r="I682" s="371"/>
      <c r="J682" s="371"/>
      <c r="K682" s="370"/>
      <c r="L682" s="369"/>
      <c r="M682" s="369"/>
      <c r="N682" s="369"/>
      <c r="O682" s="369"/>
      <c r="P682" s="369"/>
      <c r="Q682" s="369"/>
      <c r="R682" s="369"/>
      <c r="S682" s="369"/>
      <c r="T682" s="369"/>
      <c r="U682" s="369"/>
      <c r="V682" s="369"/>
      <c r="W682" s="369"/>
      <c r="X682" s="369"/>
      <c r="Y682" s="369"/>
      <c r="Z682" s="369"/>
    </row>
    <row r="683" spans="1:26" ht="14.25" customHeight="1">
      <c r="A683" s="369"/>
      <c r="B683" s="369"/>
      <c r="C683" s="369"/>
      <c r="D683" s="369"/>
      <c r="E683" s="369"/>
      <c r="F683" s="369"/>
      <c r="G683" s="369"/>
      <c r="H683" s="370"/>
      <c r="I683" s="371"/>
      <c r="J683" s="371"/>
      <c r="K683" s="370"/>
      <c r="L683" s="369"/>
      <c r="M683" s="369"/>
      <c r="N683" s="369"/>
      <c r="O683" s="369"/>
      <c r="P683" s="369"/>
      <c r="Q683" s="369"/>
      <c r="R683" s="369"/>
      <c r="S683" s="369"/>
      <c r="T683" s="369"/>
      <c r="U683" s="369"/>
      <c r="V683" s="369"/>
      <c r="W683" s="369"/>
      <c r="X683" s="369"/>
      <c r="Y683" s="369"/>
      <c r="Z683" s="369"/>
    </row>
    <row r="684" spans="1:26" ht="14.25" customHeight="1">
      <c r="A684" s="369"/>
      <c r="B684" s="369"/>
      <c r="C684" s="369"/>
      <c r="D684" s="369"/>
      <c r="E684" s="369"/>
      <c r="F684" s="369"/>
      <c r="G684" s="369"/>
      <c r="H684" s="370"/>
      <c r="I684" s="371"/>
      <c r="J684" s="371"/>
      <c r="K684" s="370"/>
      <c r="L684" s="369"/>
      <c r="M684" s="369"/>
      <c r="N684" s="369"/>
      <c r="O684" s="369"/>
      <c r="P684" s="369"/>
      <c r="Q684" s="369"/>
      <c r="R684" s="369"/>
      <c r="S684" s="369"/>
      <c r="T684" s="369"/>
      <c r="U684" s="369"/>
      <c r="V684" s="369"/>
      <c r="W684" s="369"/>
      <c r="X684" s="369"/>
      <c r="Y684" s="369"/>
      <c r="Z684" s="369"/>
    </row>
    <row r="685" spans="1:26" ht="14.25" customHeight="1">
      <c r="A685" s="369"/>
      <c r="B685" s="369"/>
      <c r="C685" s="369"/>
      <c r="D685" s="369"/>
      <c r="E685" s="369"/>
      <c r="F685" s="369"/>
      <c r="G685" s="369"/>
      <c r="H685" s="370"/>
      <c r="I685" s="371"/>
      <c r="J685" s="371"/>
      <c r="K685" s="370"/>
      <c r="L685" s="369"/>
      <c r="M685" s="369"/>
      <c r="N685" s="369"/>
      <c r="O685" s="369"/>
      <c r="P685" s="369"/>
      <c r="Q685" s="369"/>
      <c r="R685" s="369"/>
      <c r="S685" s="369"/>
      <c r="T685" s="369"/>
      <c r="U685" s="369"/>
      <c r="V685" s="369"/>
      <c r="W685" s="369"/>
      <c r="X685" s="369"/>
      <c r="Y685" s="369"/>
      <c r="Z685" s="369"/>
    </row>
    <row r="686" spans="1:26" ht="14.25" customHeight="1">
      <c r="A686" s="369"/>
      <c r="B686" s="369"/>
      <c r="C686" s="369"/>
      <c r="D686" s="369"/>
      <c r="E686" s="369"/>
      <c r="F686" s="369"/>
      <c r="G686" s="369"/>
      <c r="H686" s="370"/>
      <c r="I686" s="371"/>
      <c r="J686" s="371"/>
      <c r="K686" s="370"/>
      <c r="L686" s="369"/>
      <c r="M686" s="369"/>
      <c r="N686" s="369"/>
      <c r="O686" s="369"/>
      <c r="P686" s="369"/>
      <c r="Q686" s="369"/>
      <c r="R686" s="369"/>
      <c r="S686" s="369"/>
      <c r="T686" s="369"/>
      <c r="U686" s="369"/>
      <c r="V686" s="369"/>
      <c r="W686" s="369"/>
      <c r="X686" s="369"/>
      <c r="Y686" s="369"/>
      <c r="Z686" s="369"/>
    </row>
    <row r="687" spans="1:26" ht="14.25" customHeight="1">
      <c r="A687" s="369"/>
      <c r="B687" s="369"/>
      <c r="C687" s="369"/>
      <c r="D687" s="369"/>
      <c r="E687" s="369"/>
      <c r="F687" s="369"/>
      <c r="G687" s="369"/>
      <c r="H687" s="370"/>
      <c r="I687" s="371"/>
      <c r="J687" s="371"/>
      <c r="K687" s="370"/>
      <c r="L687" s="369"/>
      <c r="M687" s="369"/>
      <c r="N687" s="369"/>
      <c r="O687" s="369"/>
      <c r="P687" s="369"/>
      <c r="Q687" s="369"/>
      <c r="R687" s="369"/>
      <c r="S687" s="369"/>
      <c r="T687" s="369"/>
      <c r="U687" s="369"/>
      <c r="V687" s="369"/>
      <c r="W687" s="369"/>
      <c r="X687" s="369"/>
      <c r="Y687" s="369"/>
      <c r="Z687" s="369"/>
    </row>
    <row r="688" spans="1:26" ht="14.25" customHeight="1">
      <c r="A688" s="369"/>
      <c r="B688" s="369"/>
      <c r="C688" s="369"/>
      <c r="D688" s="369"/>
      <c r="E688" s="369"/>
      <c r="F688" s="369"/>
      <c r="G688" s="369"/>
      <c r="H688" s="370"/>
      <c r="I688" s="371"/>
      <c r="J688" s="371"/>
      <c r="K688" s="370"/>
      <c r="L688" s="369"/>
      <c r="M688" s="369"/>
      <c r="N688" s="369"/>
      <c r="O688" s="369"/>
      <c r="P688" s="369"/>
      <c r="Q688" s="369"/>
      <c r="R688" s="369"/>
      <c r="S688" s="369"/>
      <c r="T688" s="369"/>
      <c r="U688" s="369"/>
      <c r="V688" s="369"/>
      <c r="W688" s="369"/>
      <c r="X688" s="369"/>
      <c r="Y688" s="369"/>
      <c r="Z688" s="369"/>
    </row>
    <row r="689" spans="1:26" ht="14.25" customHeight="1">
      <c r="A689" s="369"/>
      <c r="B689" s="369"/>
      <c r="C689" s="369"/>
      <c r="D689" s="369"/>
      <c r="E689" s="369"/>
      <c r="F689" s="369"/>
      <c r="G689" s="369"/>
      <c r="H689" s="370"/>
      <c r="I689" s="371"/>
      <c r="J689" s="371"/>
      <c r="K689" s="370"/>
      <c r="L689" s="369"/>
      <c r="M689" s="369"/>
      <c r="N689" s="369"/>
      <c r="O689" s="369"/>
      <c r="P689" s="369"/>
      <c r="Q689" s="369"/>
      <c r="R689" s="369"/>
      <c r="S689" s="369"/>
      <c r="T689" s="369"/>
      <c r="U689" s="369"/>
      <c r="V689" s="369"/>
      <c r="W689" s="369"/>
      <c r="X689" s="369"/>
      <c r="Y689" s="369"/>
      <c r="Z689" s="369"/>
    </row>
    <row r="690" spans="1:26" ht="14.25" customHeight="1">
      <c r="A690" s="369"/>
      <c r="B690" s="369"/>
      <c r="C690" s="369"/>
      <c r="D690" s="369"/>
      <c r="E690" s="369"/>
      <c r="F690" s="369"/>
      <c r="G690" s="369"/>
      <c r="H690" s="370"/>
      <c r="I690" s="371"/>
      <c r="J690" s="371"/>
      <c r="K690" s="370"/>
      <c r="L690" s="369"/>
      <c r="M690" s="369"/>
      <c r="N690" s="369"/>
      <c r="O690" s="369"/>
      <c r="P690" s="369"/>
      <c r="Q690" s="369"/>
      <c r="R690" s="369"/>
      <c r="S690" s="369"/>
      <c r="T690" s="369"/>
      <c r="U690" s="369"/>
      <c r="V690" s="369"/>
      <c r="W690" s="369"/>
      <c r="X690" s="369"/>
      <c r="Y690" s="369"/>
      <c r="Z690" s="369"/>
    </row>
    <row r="691" spans="1:26" ht="14.25" customHeight="1">
      <c r="A691" s="369"/>
      <c r="B691" s="369"/>
      <c r="C691" s="369"/>
      <c r="D691" s="369"/>
      <c r="E691" s="369"/>
      <c r="F691" s="369"/>
      <c r="G691" s="369"/>
      <c r="H691" s="370"/>
      <c r="I691" s="371"/>
      <c r="J691" s="371"/>
      <c r="K691" s="370"/>
      <c r="L691" s="369"/>
      <c r="M691" s="369"/>
      <c r="N691" s="369"/>
      <c r="O691" s="369"/>
      <c r="P691" s="369"/>
      <c r="Q691" s="369"/>
      <c r="R691" s="369"/>
      <c r="S691" s="369"/>
      <c r="T691" s="369"/>
      <c r="U691" s="369"/>
      <c r="V691" s="369"/>
      <c r="W691" s="369"/>
      <c r="X691" s="369"/>
      <c r="Y691" s="369"/>
      <c r="Z691" s="369"/>
    </row>
    <row r="692" spans="1:26" ht="14.25" customHeight="1">
      <c r="A692" s="369"/>
      <c r="B692" s="369"/>
      <c r="C692" s="369"/>
      <c r="D692" s="369"/>
      <c r="E692" s="369"/>
      <c r="F692" s="369"/>
      <c r="G692" s="369"/>
      <c r="H692" s="370"/>
      <c r="I692" s="371"/>
      <c r="J692" s="371"/>
      <c r="K692" s="370"/>
      <c r="L692" s="369"/>
      <c r="M692" s="369"/>
      <c r="N692" s="369"/>
      <c r="O692" s="369"/>
      <c r="P692" s="369"/>
      <c r="Q692" s="369"/>
      <c r="R692" s="369"/>
      <c r="S692" s="369"/>
      <c r="T692" s="369"/>
      <c r="U692" s="369"/>
      <c r="V692" s="369"/>
      <c r="W692" s="369"/>
      <c r="X692" s="369"/>
      <c r="Y692" s="369"/>
      <c r="Z692" s="369"/>
    </row>
    <row r="693" spans="1:26" ht="14.25" customHeight="1">
      <c r="A693" s="369"/>
      <c r="B693" s="369"/>
      <c r="C693" s="369"/>
      <c r="D693" s="369"/>
      <c r="E693" s="369"/>
      <c r="F693" s="369"/>
      <c r="G693" s="369"/>
      <c r="H693" s="370"/>
      <c r="I693" s="371"/>
      <c r="J693" s="371"/>
      <c r="K693" s="370"/>
      <c r="L693" s="369"/>
      <c r="M693" s="369"/>
      <c r="N693" s="369"/>
      <c r="O693" s="369"/>
      <c r="P693" s="369"/>
      <c r="Q693" s="369"/>
      <c r="R693" s="369"/>
      <c r="S693" s="369"/>
      <c r="T693" s="369"/>
      <c r="U693" s="369"/>
      <c r="V693" s="369"/>
      <c r="W693" s="369"/>
      <c r="X693" s="369"/>
      <c r="Y693" s="369"/>
      <c r="Z693" s="369"/>
    </row>
    <row r="694" spans="1:26" ht="14.25" customHeight="1">
      <c r="A694" s="369"/>
      <c r="B694" s="369"/>
      <c r="C694" s="369"/>
      <c r="D694" s="369"/>
      <c r="E694" s="369"/>
      <c r="F694" s="369"/>
      <c r="G694" s="369"/>
      <c r="H694" s="370"/>
      <c r="I694" s="371"/>
      <c r="J694" s="371"/>
      <c r="K694" s="370"/>
      <c r="L694" s="369"/>
      <c r="M694" s="369"/>
      <c r="N694" s="369"/>
      <c r="O694" s="369"/>
      <c r="P694" s="369"/>
      <c r="Q694" s="369"/>
      <c r="R694" s="369"/>
      <c r="S694" s="369"/>
      <c r="T694" s="369"/>
      <c r="U694" s="369"/>
      <c r="V694" s="369"/>
      <c r="W694" s="369"/>
      <c r="X694" s="369"/>
      <c r="Y694" s="369"/>
      <c r="Z694" s="369"/>
    </row>
    <row r="695" spans="1:26" ht="14.25" customHeight="1">
      <c r="A695" s="369"/>
      <c r="B695" s="369"/>
      <c r="C695" s="369"/>
      <c r="D695" s="369"/>
      <c r="E695" s="369"/>
      <c r="F695" s="369"/>
      <c r="G695" s="369"/>
      <c r="H695" s="370"/>
      <c r="I695" s="371"/>
      <c r="J695" s="371"/>
      <c r="K695" s="370"/>
      <c r="L695" s="369"/>
      <c r="M695" s="369"/>
      <c r="N695" s="369"/>
      <c r="O695" s="369"/>
      <c r="P695" s="369"/>
      <c r="Q695" s="369"/>
      <c r="R695" s="369"/>
      <c r="S695" s="369"/>
      <c r="T695" s="369"/>
      <c r="U695" s="369"/>
      <c r="V695" s="369"/>
      <c r="W695" s="369"/>
      <c r="X695" s="369"/>
      <c r="Y695" s="369"/>
      <c r="Z695" s="369"/>
    </row>
    <row r="696" spans="1:26" ht="14.25" customHeight="1">
      <c r="A696" s="369"/>
      <c r="B696" s="369"/>
      <c r="C696" s="369"/>
      <c r="D696" s="369"/>
      <c r="E696" s="369"/>
      <c r="F696" s="369"/>
      <c r="G696" s="369"/>
      <c r="H696" s="370"/>
      <c r="I696" s="371"/>
      <c r="J696" s="371"/>
      <c r="K696" s="370"/>
      <c r="L696" s="369"/>
      <c r="M696" s="369"/>
      <c r="N696" s="369"/>
      <c r="O696" s="369"/>
      <c r="P696" s="369"/>
      <c r="Q696" s="369"/>
      <c r="R696" s="369"/>
      <c r="S696" s="369"/>
      <c r="T696" s="369"/>
      <c r="U696" s="369"/>
      <c r="V696" s="369"/>
      <c r="W696" s="369"/>
      <c r="X696" s="369"/>
      <c r="Y696" s="369"/>
      <c r="Z696" s="369"/>
    </row>
    <row r="697" spans="1:26" ht="14.25" customHeight="1">
      <c r="A697" s="369"/>
      <c r="B697" s="369"/>
      <c r="C697" s="369"/>
      <c r="D697" s="369"/>
      <c r="E697" s="369"/>
      <c r="F697" s="369"/>
      <c r="G697" s="369"/>
      <c r="H697" s="370"/>
      <c r="I697" s="371"/>
      <c r="J697" s="371"/>
      <c r="K697" s="370"/>
      <c r="L697" s="369"/>
      <c r="M697" s="369"/>
      <c r="N697" s="369"/>
      <c r="O697" s="369"/>
      <c r="P697" s="369"/>
      <c r="Q697" s="369"/>
      <c r="R697" s="369"/>
      <c r="S697" s="369"/>
      <c r="T697" s="369"/>
      <c r="U697" s="369"/>
      <c r="V697" s="369"/>
      <c r="W697" s="369"/>
      <c r="X697" s="369"/>
      <c r="Y697" s="369"/>
      <c r="Z697" s="369"/>
    </row>
    <row r="698" spans="1:26" ht="14.25" customHeight="1">
      <c r="A698" s="369"/>
      <c r="B698" s="369"/>
      <c r="C698" s="369"/>
      <c r="D698" s="369"/>
      <c r="E698" s="369"/>
      <c r="F698" s="369"/>
      <c r="G698" s="369"/>
      <c r="H698" s="370"/>
      <c r="I698" s="371"/>
      <c r="J698" s="371"/>
      <c r="K698" s="370"/>
      <c r="L698" s="369"/>
      <c r="M698" s="369"/>
      <c r="N698" s="369"/>
      <c r="O698" s="369"/>
      <c r="P698" s="369"/>
      <c r="Q698" s="369"/>
      <c r="R698" s="369"/>
      <c r="S698" s="369"/>
      <c r="T698" s="369"/>
      <c r="U698" s="369"/>
      <c r="V698" s="369"/>
      <c r="W698" s="369"/>
      <c r="X698" s="369"/>
      <c r="Y698" s="369"/>
      <c r="Z698" s="369"/>
    </row>
    <row r="699" spans="1:26" ht="14.25" customHeight="1">
      <c r="A699" s="369"/>
      <c r="B699" s="369"/>
      <c r="C699" s="369"/>
      <c r="D699" s="369"/>
      <c r="E699" s="369"/>
      <c r="F699" s="369"/>
      <c r="G699" s="369"/>
      <c r="H699" s="370"/>
      <c r="I699" s="371"/>
      <c r="J699" s="371"/>
      <c r="K699" s="370"/>
      <c r="L699" s="369"/>
      <c r="M699" s="369"/>
      <c r="N699" s="369"/>
      <c r="O699" s="369"/>
      <c r="P699" s="369"/>
      <c r="Q699" s="369"/>
      <c r="R699" s="369"/>
      <c r="S699" s="369"/>
      <c r="T699" s="369"/>
      <c r="U699" s="369"/>
      <c r="V699" s="369"/>
      <c r="W699" s="369"/>
      <c r="X699" s="369"/>
      <c r="Y699" s="369"/>
      <c r="Z699" s="369"/>
    </row>
    <row r="700" spans="1:26" ht="14.25" customHeight="1">
      <c r="A700" s="369"/>
      <c r="B700" s="369"/>
      <c r="C700" s="369"/>
      <c r="D700" s="369"/>
      <c r="E700" s="369"/>
      <c r="F700" s="369"/>
      <c r="G700" s="369"/>
      <c r="H700" s="370"/>
      <c r="I700" s="371"/>
      <c r="J700" s="371"/>
      <c r="K700" s="370"/>
      <c r="L700" s="369"/>
      <c r="M700" s="369"/>
      <c r="N700" s="369"/>
      <c r="O700" s="369"/>
      <c r="P700" s="369"/>
      <c r="Q700" s="369"/>
      <c r="R700" s="369"/>
      <c r="S700" s="369"/>
      <c r="T700" s="369"/>
      <c r="U700" s="369"/>
      <c r="V700" s="369"/>
      <c r="W700" s="369"/>
      <c r="X700" s="369"/>
      <c r="Y700" s="369"/>
      <c r="Z700" s="369"/>
    </row>
    <row r="701" spans="1:26" ht="14.25" customHeight="1">
      <c r="A701" s="369"/>
      <c r="B701" s="369"/>
      <c r="C701" s="369"/>
      <c r="D701" s="369"/>
      <c r="E701" s="369"/>
      <c r="F701" s="369"/>
      <c r="G701" s="369"/>
      <c r="H701" s="370"/>
      <c r="I701" s="371"/>
      <c r="J701" s="371"/>
      <c r="K701" s="370"/>
      <c r="L701" s="369"/>
      <c r="M701" s="369"/>
      <c r="N701" s="369"/>
      <c r="O701" s="369"/>
      <c r="P701" s="369"/>
      <c r="Q701" s="369"/>
      <c r="R701" s="369"/>
      <c r="S701" s="369"/>
      <c r="T701" s="369"/>
      <c r="U701" s="369"/>
      <c r="V701" s="369"/>
      <c r="W701" s="369"/>
      <c r="X701" s="369"/>
      <c r="Y701" s="369"/>
      <c r="Z701" s="369"/>
    </row>
    <row r="702" spans="1:26" ht="14.25" customHeight="1">
      <c r="A702" s="369"/>
      <c r="B702" s="369"/>
      <c r="C702" s="369"/>
      <c r="D702" s="369"/>
      <c r="E702" s="369"/>
      <c r="F702" s="369"/>
      <c r="G702" s="369"/>
      <c r="H702" s="370"/>
      <c r="I702" s="371"/>
      <c r="J702" s="371"/>
      <c r="K702" s="370"/>
      <c r="L702" s="369"/>
      <c r="M702" s="369"/>
      <c r="N702" s="369"/>
      <c r="O702" s="369"/>
      <c r="P702" s="369"/>
      <c r="Q702" s="369"/>
      <c r="R702" s="369"/>
      <c r="S702" s="369"/>
      <c r="T702" s="369"/>
      <c r="U702" s="369"/>
      <c r="V702" s="369"/>
      <c r="W702" s="369"/>
      <c r="X702" s="369"/>
      <c r="Y702" s="369"/>
      <c r="Z702" s="369"/>
    </row>
    <row r="703" spans="1:26" ht="14.25" customHeight="1">
      <c r="A703" s="369"/>
      <c r="B703" s="369"/>
      <c r="C703" s="369"/>
      <c r="D703" s="369"/>
      <c r="E703" s="369"/>
      <c r="F703" s="369"/>
      <c r="G703" s="369"/>
      <c r="H703" s="370"/>
      <c r="I703" s="371"/>
      <c r="J703" s="371"/>
      <c r="K703" s="370"/>
      <c r="L703" s="369"/>
      <c r="M703" s="369"/>
      <c r="N703" s="369"/>
      <c r="O703" s="369"/>
      <c r="P703" s="369"/>
      <c r="Q703" s="369"/>
      <c r="R703" s="369"/>
      <c r="S703" s="369"/>
      <c r="T703" s="369"/>
      <c r="U703" s="369"/>
      <c r="V703" s="369"/>
      <c r="W703" s="369"/>
      <c r="X703" s="369"/>
      <c r="Y703" s="369"/>
      <c r="Z703" s="369"/>
    </row>
    <row r="704" spans="1:26" ht="14.25" customHeight="1">
      <c r="A704" s="369"/>
      <c r="B704" s="369"/>
      <c r="C704" s="369"/>
      <c r="D704" s="369"/>
      <c r="E704" s="369"/>
      <c r="F704" s="369"/>
      <c r="G704" s="369"/>
      <c r="H704" s="370"/>
      <c r="I704" s="371"/>
      <c r="J704" s="371"/>
      <c r="K704" s="370"/>
      <c r="L704" s="369"/>
      <c r="M704" s="369"/>
      <c r="N704" s="369"/>
      <c r="O704" s="369"/>
      <c r="P704" s="369"/>
      <c r="Q704" s="369"/>
      <c r="R704" s="369"/>
      <c r="S704" s="369"/>
      <c r="T704" s="369"/>
      <c r="U704" s="369"/>
      <c r="V704" s="369"/>
      <c r="W704" s="369"/>
      <c r="X704" s="369"/>
      <c r="Y704" s="369"/>
      <c r="Z704" s="369"/>
    </row>
    <row r="705" spans="1:26" ht="14.25" customHeight="1">
      <c r="A705" s="369"/>
      <c r="B705" s="369"/>
      <c r="C705" s="369"/>
      <c r="D705" s="369"/>
      <c r="E705" s="369"/>
      <c r="F705" s="369"/>
      <c r="G705" s="369"/>
      <c r="H705" s="370"/>
      <c r="I705" s="371"/>
      <c r="J705" s="371"/>
      <c r="K705" s="370"/>
      <c r="L705" s="369"/>
      <c r="M705" s="369"/>
      <c r="N705" s="369"/>
      <c r="O705" s="369"/>
      <c r="P705" s="369"/>
      <c r="Q705" s="369"/>
      <c r="R705" s="369"/>
      <c r="S705" s="369"/>
      <c r="T705" s="369"/>
      <c r="U705" s="369"/>
      <c r="V705" s="369"/>
      <c r="W705" s="369"/>
      <c r="X705" s="369"/>
      <c r="Y705" s="369"/>
      <c r="Z705" s="369"/>
    </row>
    <row r="706" spans="1:26" ht="14.25" customHeight="1">
      <c r="A706" s="369"/>
      <c r="B706" s="369"/>
      <c r="C706" s="369"/>
      <c r="D706" s="369"/>
      <c r="E706" s="369"/>
      <c r="F706" s="369"/>
      <c r="G706" s="369"/>
      <c r="H706" s="370"/>
      <c r="I706" s="371"/>
      <c r="J706" s="371"/>
      <c r="K706" s="370"/>
      <c r="L706" s="369"/>
      <c r="M706" s="369"/>
      <c r="N706" s="369"/>
      <c r="O706" s="369"/>
      <c r="P706" s="369"/>
      <c r="Q706" s="369"/>
      <c r="R706" s="369"/>
      <c r="S706" s="369"/>
      <c r="T706" s="369"/>
      <c r="U706" s="369"/>
      <c r="V706" s="369"/>
      <c r="W706" s="369"/>
      <c r="X706" s="369"/>
      <c r="Y706" s="369"/>
      <c r="Z706" s="369"/>
    </row>
    <row r="707" spans="1:26" ht="14.25" customHeight="1">
      <c r="A707" s="369"/>
      <c r="B707" s="369"/>
      <c r="C707" s="369"/>
      <c r="D707" s="369"/>
      <c r="E707" s="369"/>
      <c r="F707" s="369"/>
      <c r="G707" s="369"/>
      <c r="H707" s="370"/>
      <c r="I707" s="371"/>
      <c r="J707" s="371"/>
      <c r="K707" s="370"/>
      <c r="L707" s="369"/>
      <c r="M707" s="369"/>
      <c r="N707" s="369"/>
      <c r="O707" s="369"/>
      <c r="P707" s="369"/>
      <c r="Q707" s="369"/>
      <c r="R707" s="369"/>
      <c r="S707" s="369"/>
      <c r="T707" s="369"/>
      <c r="U707" s="369"/>
      <c r="V707" s="369"/>
      <c r="W707" s="369"/>
      <c r="X707" s="369"/>
      <c r="Y707" s="369"/>
      <c r="Z707" s="369"/>
    </row>
    <row r="708" spans="1:26" ht="14.25" customHeight="1">
      <c r="A708" s="369"/>
      <c r="B708" s="369"/>
      <c r="C708" s="369"/>
      <c r="D708" s="369"/>
      <c r="E708" s="369"/>
      <c r="F708" s="369"/>
      <c r="G708" s="369"/>
      <c r="H708" s="370"/>
      <c r="I708" s="371"/>
      <c r="J708" s="371"/>
      <c r="K708" s="370"/>
      <c r="L708" s="369"/>
      <c r="M708" s="369"/>
      <c r="N708" s="369"/>
      <c r="O708" s="369"/>
      <c r="P708" s="369"/>
      <c r="Q708" s="369"/>
      <c r="R708" s="369"/>
      <c r="S708" s="369"/>
      <c r="T708" s="369"/>
      <c r="U708" s="369"/>
      <c r="V708" s="369"/>
      <c r="W708" s="369"/>
      <c r="X708" s="369"/>
      <c r="Y708" s="369"/>
      <c r="Z708" s="369"/>
    </row>
    <row r="709" spans="1:26" ht="14.25" customHeight="1">
      <c r="A709" s="369"/>
      <c r="B709" s="369"/>
      <c r="C709" s="369"/>
      <c r="D709" s="369"/>
      <c r="E709" s="369"/>
      <c r="F709" s="369"/>
      <c r="G709" s="369"/>
      <c r="H709" s="370"/>
      <c r="I709" s="371"/>
      <c r="J709" s="371"/>
      <c r="K709" s="370"/>
      <c r="L709" s="369"/>
      <c r="M709" s="369"/>
      <c r="N709" s="369"/>
      <c r="O709" s="369"/>
      <c r="P709" s="369"/>
      <c r="Q709" s="369"/>
      <c r="R709" s="369"/>
      <c r="S709" s="369"/>
      <c r="T709" s="369"/>
      <c r="U709" s="369"/>
      <c r="V709" s="369"/>
      <c r="W709" s="369"/>
      <c r="X709" s="369"/>
      <c r="Y709" s="369"/>
      <c r="Z709" s="369"/>
    </row>
    <row r="710" spans="1:26" ht="14.25" customHeight="1">
      <c r="A710" s="369"/>
      <c r="B710" s="369"/>
      <c r="C710" s="369"/>
      <c r="D710" s="369"/>
      <c r="E710" s="369"/>
      <c r="F710" s="369"/>
      <c r="G710" s="369"/>
      <c r="H710" s="370"/>
      <c r="I710" s="371"/>
      <c r="J710" s="371"/>
      <c r="K710" s="370"/>
      <c r="L710" s="369"/>
      <c r="M710" s="369"/>
      <c r="N710" s="369"/>
      <c r="O710" s="369"/>
      <c r="P710" s="369"/>
      <c r="Q710" s="369"/>
      <c r="R710" s="369"/>
      <c r="S710" s="369"/>
      <c r="T710" s="369"/>
      <c r="U710" s="369"/>
      <c r="V710" s="369"/>
      <c r="W710" s="369"/>
      <c r="X710" s="369"/>
      <c r="Y710" s="369"/>
      <c r="Z710" s="369"/>
    </row>
    <row r="711" spans="1:26" ht="14.25" customHeight="1">
      <c r="A711" s="369"/>
      <c r="B711" s="369"/>
      <c r="C711" s="369"/>
      <c r="D711" s="369"/>
      <c r="E711" s="369"/>
      <c r="F711" s="369"/>
      <c r="G711" s="369"/>
      <c r="H711" s="370"/>
      <c r="I711" s="371"/>
      <c r="J711" s="371"/>
      <c r="K711" s="370"/>
      <c r="L711" s="369"/>
      <c r="M711" s="369"/>
      <c r="N711" s="369"/>
      <c r="O711" s="369"/>
      <c r="P711" s="369"/>
      <c r="Q711" s="369"/>
      <c r="R711" s="369"/>
      <c r="S711" s="369"/>
      <c r="T711" s="369"/>
      <c r="U711" s="369"/>
      <c r="V711" s="369"/>
      <c r="W711" s="369"/>
      <c r="X711" s="369"/>
      <c r="Y711" s="369"/>
      <c r="Z711" s="369"/>
    </row>
    <row r="712" spans="1:26" ht="14.25" customHeight="1">
      <c r="A712" s="369"/>
      <c r="B712" s="369"/>
      <c r="C712" s="369"/>
      <c r="D712" s="369"/>
      <c r="E712" s="369"/>
      <c r="F712" s="369"/>
      <c r="G712" s="369"/>
      <c r="H712" s="370"/>
      <c r="I712" s="371"/>
      <c r="J712" s="371"/>
      <c r="K712" s="370"/>
      <c r="L712" s="369"/>
      <c r="M712" s="369"/>
      <c r="N712" s="369"/>
      <c r="O712" s="369"/>
      <c r="P712" s="369"/>
      <c r="Q712" s="369"/>
      <c r="R712" s="369"/>
      <c r="S712" s="369"/>
      <c r="T712" s="369"/>
      <c r="U712" s="369"/>
      <c r="V712" s="369"/>
      <c r="W712" s="369"/>
      <c r="X712" s="369"/>
      <c r="Y712" s="369"/>
      <c r="Z712" s="369"/>
    </row>
    <row r="713" spans="1:26" ht="14.25" customHeight="1">
      <c r="A713" s="369"/>
      <c r="B713" s="369"/>
      <c r="C713" s="369"/>
      <c r="D713" s="369"/>
      <c r="E713" s="369"/>
      <c r="F713" s="369"/>
      <c r="G713" s="369"/>
      <c r="H713" s="370"/>
      <c r="I713" s="371"/>
      <c r="J713" s="371"/>
      <c r="K713" s="370"/>
      <c r="L713" s="369"/>
      <c r="M713" s="369"/>
      <c r="N713" s="369"/>
      <c r="O713" s="369"/>
      <c r="P713" s="369"/>
      <c r="Q713" s="369"/>
      <c r="R713" s="369"/>
      <c r="S713" s="369"/>
      <c r="T713" s="369"/>
      <c r="U713" s="369"/>
      <c r="V713" s="369"/>
      <c r="W713" s="369"/>
      <c r="X713" s="369"/>
      <c r="Y713" s="369"/>
      <c r="Z713" s="369"/>
    </row>
    <row r="714" spans="1:26" ht="14.25" customHeight="1">
      <c r="A714" s="369"/>
      <c r="B714" s="369"/>
      <c r="C714" s="369"/>
      <c r="D714" s="369"/>
      <c r="E714" s="369"/>
      <c r="F714" s="369"/>
      <c r="G714" s="369"/>
      <c r="H714" s="370"/>
      <c r="I714" s="371"/>
      <c r="J714" s="371"/>
      <c r="K714" s="370"/>
      <c r="L714" s="369"/>
      <c r="M714" s="369"/>
      <c r="N714" s="369"/>
      <c r="O714" s="369"/>
      <c r="P714" s="369"/>
      <c r="Q714" s="369"/>
      <c r="R714" s="369"/>
      <c r="S714" s="369"/>
      <c r="T714" s="369"/>
      <c r="U714" s="369"/>
      <c r="V714" s="369"/>
      <c r="W714" s="369"/>
      <c r="X714" s="369"/>
      <c r="Y714" s="369"/>
      <c r="Z714" s="369"/>
    </row>
    <row r="715" spans="1:26" ht="14.25" customHeight="1">
      <c r="A715" s="369"/>
      <c r="B715" s="369"/>
      <c r="C715" s="369"/>
      <c r="D715" s="369"/>
      <c r="E715" s="369"/>
      <c r="F715" s="369"/>
      <c r="G715" s="369"/>
      <c r="H715" s="370"/>
      <c r="I715" s="371"/>
      <c r="J715" s="371"/>
      <c r="K715" s="370"/>
      <c r="L715" s="369"/>
      <c r="M715" s="369"/>
      <c r="N715" s="369"/>
      <c r="O715" s="369"/>
      <c r="P715" s="369"/>
      <c r="Q715" s="369"/>
      <c r="R715" s="369"/>
      <c r="S715" s="369"/>
      <c r="T715" s="369"/>
      <c r="U715" s="369"/>
      <c r="V715" s="369"/>
      <c r="W715" s="369"/>
      <c r="X715" s="369"/>
      <c r="Y715" s="369"/>
      <c r="Z715" s="369"/>
    </row>
    <row r="716" spans="1:26" ht="14.25" customHeight="1">
      <c r="A716" s="369"/>
      <c r="B716" s="369"/>
      <c r="C716" s="369"/>
      <c r="D716" s="369"/>
      <c r="E716" s="369"/>
      <c r="F716" s="369"/>
      <c r="G716" s="369"/>
      <c r="H716" s="370"/>
      <c r="I716" s="371"/>
      <c r="J716" s="371"/>
      <c r="K716" s="370"/>
      <c r="L716" s="369"/>
      <c r="M716" s="369"/>
      <c r="N716" s="369"/>
      <c r="O716" s="369"/>
      <c r="P716" s="369"/>
      <c r="Q716" s="369"/>
      <c r="R716" s="369"/>
      <c r="S716" s="369"/>
      <c r="T716" s="369"/>
      <c r="U716" s="369"/>
      <c r="V716" s="369"/>
      <c r="W716" s="369"/>
      <c r="X716" s="369"/>
      <c r="Y716" s="369"/>
      <c r="Z716" s="369"/>
    </row>
    <row r="717" spans="1:26" ht="14.25" customHeight="1">
      <c r="A717" s="369"/>
      <c r="B717" s="369"/>
      <c r="C717" s="369"/>
      <c r="D717" s="369"/>
      <c r="E717" s="369"/>
      <c r="F717" s="369"/>
      <c r="G717" s="369"/>
      <c r="H717" s="370"/>
      <c r="I717" s="371"/>
      <c r="J717" s="371"/>
      <c r="K717" s="370"/>
      <c r="L717" s="369"/>
      <c r="M717" s="369"/>
      <c r="N717" s="369"/>
      <c r="O717" s="369"/>
      <c r="P717" s="369"/>
      <c r="Q717" s="369"/>
      <c r="R717" s="369"/>
      <c r="S717" s="369"/>
      <c r="T717" s="369"/>
      <c r="U717" s="369"/>
      <c r="V717" s="369"/>
      <c r="W717" s="369"/>
      <c r="X717" s="369"/>
      <c r="Y717" s="369"/>
      <c r="Z717" s="369"/>
    </row>
    <row r="718" spans="1:26" ht="14.25" customHeight="1">
      <c r="A718" s="369"/>
      <c r="B718" s="369"/>
      <c r="C718" s="369"/>
      <c r="D718" s="369"/>
      <c r="E718" s="369"/>
      <c r="F718" s="369"/>
      <c r="G718" s="369"/>
      <c r="H718" s="370"/>
      <c r="I718" s="371"/>
      <c r="J718" s="371"/>
      <c r="K718" s="370"/>
      <c r="L718" s="369"/>
      <c r="M718" s="369"/>
      <c r="N718" s="369"/>
      <c r="O718" s="369"/>
      <c r="P718" s="369"/>
      <c r="Q718" s="369"/>
      <c r="R718" s="369"/>
      <c r="S718" s="369"/>
      <c r="T718" s="369"/>
      <c r="U718" s="369"/>
      <c r="V718" s="369"/>
      <c r="W718" s="369"/>
      <c r="X718" s="369"/>
      <c r="Y718" s="369"/>
      <c r="Z718" s="369"/>
    </row>
    <row r="719" spans="1:26" ht="14.25" customHeight="1">
      <c r="A719" s="369"/>
      <c r="B719" s="369"/>
      <c r="C719" s="369"/>
      <c r="D719" s="369"/>
      <c r="E719" s="369"/>
      <c r="F719" s="369"/>
      <c r="G719" s="369"/>
      <c r="H719" s="370"/>
      <c r="I719" s="371"/>
      <c r="J719" s="371"/>
      <c r="K719" s="370"/>
      <c r="L719" s="369"/>
      <c r="M719" s="369"/>
      <c r="N719" s="369"/>
      <c r="O719" s="369"/>
      <c r="P719" s="369"/>
      <c r="Q719" s="369"/>
      <c r="R719" s="369"/>
      <c r="S719" s="369"/>
      <c r="T719" s="369"/>
      <c r="U719" s="369"/>
      <c r="V719" s="369"/>
      <c r="W719" s="369"/>
      <c r="X719" s="369"/>
      <c r="Y719" s="369"/>
      <c r="Z719" s="369"/>
    </row>
    <row r="720" spans="1:26" ht="14.25" customHeight="1">
      <c r="A720" s="369"/>
      <c r="B720" s="369"/>
      <c r="C720" s="369"/>
      <c r="D720" s="369"/>
      <c r="E720" s="369"/>
      <c r="F720" s="369"/>
      <c r="G720" s="369"/>
      <c r="H720" s="370"/>
      <c r="I720" s="371"/>
      <c r="J720" s="371"/>
      <c r="K720" s="370"/>
      <c r="L720" s="369"/>
      <c r="M720" s="369"/>
      <c r="N720" s="369"/>
      <c r="O720" s="369"/>
      <c r="P720" s="369"/>
      <c r="Q720" s="369"/>
      <c r="R720" s="369"/>
      <c r="S720" s="369"/>
      <c r="T720" s="369"/>
      <c r="U720" s="369"/>
      <c r="V720" s="369"/>
      <c r="W720" s="369"/>
      <c r="X720" s="369"/>
      <c r="Y720" s="369"/>
      <c r="Z720" s="369"/>
    </row>
    <row r="721" spans="1:26" ht="14.25" customHeight="1">
      <c r="A721" s="369"/>
      <c r="B721" s="369"/>
      <c r="C721" s="369"/>
      <c r="D721" s="369"/>
      <c r="E721" s="369"/>
      <c r="F721" s="369"/>
      <c r="G721" s="369"/>
      <c r="H721" s="370"/>
      <c r="I721" s="371"/>
      <c r="J721" s="371"/>
      <c r="K721" s="370"/>
      <c r="L721" s="369"/>
      <c r="M721" s="369"/>
      <c r="N721" s="369"/>
      <c r="O721" s="369"/>
      <c r="P721" s="369"/>
      <c r="Q721" s="369"/>
      <c r="R721" s="369"/>
      <c r="S721" s="369"/>
      <c r="T721" s="369"/>
      <c r="U721" s="369"/>
      <c r="V721" s="369"/>
      <c r="W721" s="369"/>
      <c r="X721" s="369"/>
      <c r="Y721" s="369"/>
      <c r="Z721" s="369"/>
    </row>
    <row r="722" spans="1:26" ht="14.25" customHeight="1">
      <c r="A722" s="369"/>
      <c r="B722" s="369"/>
      <c r="C722" s="369"/>
      <c r="D722" s="369"/>
      <c r="E722" s="369"/>
      <c r="F722" s="369"/>
      <c r="G722" s="369"/>
      <c r="H722" s="370"/>
      <c r="I722" s="371"/>
      <c r="J722" s="371"/>
      <c r="K722" s="370"/>
      <c r="L722" s="369"/>
      <c r="M722" s="369"/>
      <c r="N722" s="369"/>
      <c r="O722" s="369"/>
      <c r="P722" s="369"/>
      <c r="Q722" s="369"/>
      <c r="R722" s="369"/>
      <c r="S722" s="369"/>
      <c r="T722" s="369"/>
      <c r="U722" s="369"/>
      <c r="V722" s="369"/>
      <c r="W722" s="369"/>
      <c r="X722" s="369"/>
      <c r="Y722" s="369"/>
      <c r="Z722" s="369"/>
    </row>
    <row r="723" spans="1:26" ht="14.25" customHeight="1">
      <c r="A723" s="369"/>
      <c r="B723" s="369"/>
      <c r="C723" s="369"/>
      <c r="D723" s="369"/>
      <c r="E723" s="369"/>
      <c r="F723" s="369"/>
      <c r="G723" s="369"/>
      <c r="H723" s="370"/>
      <c r="I723" s="371"/>
      <c r="J723" s="371"/>
      <c r="K723" s="370"/>
      <c r="L723" s="369"/>
      <c r="M723" s="369"/>
      <c r="N723" s="369"/>
      <c r="O723" s="369"/>
      <c r="P723" s="369"/>
      <c r="Q723" s="369"/>
      <c r="R723" s="369"/>
      <c r="S723" s="369"/>
      <c r="T723" s="369"/>
      <c r="U723" s="369"/>
      <c r="V723" s="369"/>
      <c r="W723" s="369"/>
      <c r="X723" s="369"/>
      <c r="Y723" s="369"/>
      <c r="Z723" s="369"/>
    </row>
    <row r="724" spans="1:26" ht="14.25" customHeight="1">
      <c r="A724" s="369"/>
      <c r="B724" s="369"/>
      <c r="C724" s="369"/>
      <c r="D724" s="369"/>
      <c r="E724" s="369"/>
      <c r="F724" s="369"/>
      <c r="G724" s="369"/>
      <c r="H724" s="370"/>
      <c r="I724" s="371"/>
      <c r="J724" s="371"/>
      <c r="K724" s="370"/>
      <c r="L724" s="369"/>
      <c r="M724" s="369"/>
      <c r="N724" s="369"/>
      <c r="O724" s="369"/>
      <c r="P724" s="369"/>
      <c r="Q724" s="369"/>
      <c r="R724" s="369"/>
      <c r="S724" s="369"/>
      <c r="T724" s="369"/>
      <c r="U724" s="369"/>
      <c r="V724" s="369"/>
      <c r="W724" s="369"/>
      <c r="X724" s="369"/>
      <c r="Y724" s="369"/>
      <c r="Z724" s="369"/>
    </row>
    <row r="725" spans="1:26" ht="14.25" customHeight="1">
      <c r="A725" s="369"/>
      <c r="B725" s="369"/>
      <c r="C725" s="369"/>
      <c r="D725" s="369"/>
      <c r="E725" s="369"/>
      <c r="F725" s="369"/>
      <c r="G725" s="369"/>
      <c r="H725" s="370"/>
      <c r="I725" s="371"/>
      <c r="J725" s="371"/>
      <c r="K725" s="370"/>
      <c r="L725" s="369"/>
      <c r="M725" s="369"/>
      <c r="N725" s="369"/>
      <c r="O725" s="369"/>
      <c r="P725" s="369"/>
      <c r="Q725" s="369"/>
      <c r="R725" s="369"/>
      <c r="S725" s="369"/>
      <c r="T725" s="369"/>
      <c r="U725" s="369"/>
      <c r="V725" s="369"/>
      <c r="W725" s="369"/>
      <c r="X725" s="369"/>
      <c r="Y725" s="369"/>
      <c r="Z725" s="369"/>
    </row>
    <row r="726" spans="1:26" ht="14.25" customHeight="1">
      <c r="A726" s="369"/>
      <c r="B726" s="369"/>
      <c r="C726" s="369"/>
      <c r="D726" s="369"/>
      <c r="E726" s="369"/>
      <c r="F726" s="369"/>
      <c r="G726" s="369"/>
      <c r="H726" s="370"/>
      <c r="I726" s="371"/>
      <c r="J726" s="371"/>
      <c r="K726" s="370"/>
      <c r="L726" s="369"/>
      <c r="M726" s="369"/>
      <c r="N726" s="369"/>
      <c r="O726" s="369"/>
      <c r="P726" s="369"/>
      <c r="Q726" s="369"/>
      <c r="R726" s="369"/>
      <c r="S726" s="369"/>
      <c r="T726" s="369"/>
      <c r="U726" s="369"/>
      <c r="V726" s="369"/>
      <c r="W726" s="369"/>
      <c r="X726" s="369"/>
      <c r="Y726" s="369"/>
      <c r="Z726" s="369"/>
    </row>
    <row r="727" spans="1:26" ht="14.25" customHeight="1">
      <c r="A727" s="369"/>
      <c r="B727" s="369"/>
      <c r="C727" s="369"/>
      <c r="D727" s="369"/>
      <c r="E727" s="369"/>
      <c r="F727" s="369"/>
      <c r="G727" s="369"/>
      <c r="H727" s="370"/>
      <c r="I727" s="371"/>
      <c r="J727" s="371"/>
      <c r="K727" s="370"/>
      <c r="L727" s="369"/>
      <c r="M727" s="369"/>
      <c r="N727" s="369"/>
      <c r="O727" s="369"/>
      <c r="P727" s="369"/>
      <c r="Q727" s="369"/>
      <c r="R727" s="369"/>
      <c r="S727" s="369"/>
      <c r="T727" s="369"/>
      <c r="U727" s="369"/>
      <c r="V727" s="369"/>
      <c r="W727" s="369"/>
      <c r="X727" s="369"/>
      <c r="Y727" s="369"/>
      <c r="Z727" s="369"/>
    </row>
    <row r="728" spans="1:26" ht="14.25" customHeight="1">
      <c r="A728" s="369"/>
      <c r="B728" s="369"/>
      <c r="C728" s="369"/>
      <c r="D728" s="369"/>
      <c r="E728" s="369"/>
      <c r="F728" s="369"/>
      <c r="G728" s="369"/>
      <c r="H728" s="370"/>
      <c r="I728" s="371"/>
      <c r="J728" s="371"/>
      <c r="K728" s="370"/>
      <c r="L728" s="369"/>
      <c r="M728" s="369"/>
      <c r="N728" s="369"/>
      <c r="O728" s="369"/>
      <c r="P728" s="369"/>
      <c r="Q728" s="369"/>
      <c r="R728" s="369"/>
      <c r="S728" s="369"/>
      <c r="T728" s="369"/>
      <c r="U728" s="369"/>
      <c r="V728" s="369"/>
      <c r="W728" s="369"/>
      <c r="X728" s="369"/>
      <c r="Y728" s="369"/>
      <c r="Z728" s="369"/>
    </row>
    <row r="729" spans="1:26" ht="14.25" customHeight="1">
      <c r="A729" s="369"/>
      <c r="B729" s="369"/>
      <c r="C729" s="369"/>
      <c r="D729" s="369"/>
      <c r="E729" s="369"/>
      <c r="F729" s="369"/>
      <c r="G729" s="369"/>
      <c r="H729" s="370"/>
      <c r="I729" s="371"/>
      <c r="J729" s="371"/>
      <c r="K729" s="370"/>
      <c r="L729" s="369"/>
      <c r="M729" s="369"/>
      <c r="N729" s="369"/>
      <c r="O729" s="369"/>
      <c r="P729" s="369"/>
      <c r="Q729" s="369"/>
      <c r="R729" s="369"/>
      <c r="S729" s="369"/>
      <c r="T729" s="369"/>
      <c r="U729" s="369"/>
      <c r="V729" s="369"/>
      <c r="W729" s="369"/>
      <c r="X729" s="369"/>
      <c r="Y729" s="369"/>
      <c r="Z729" s="369"/>
    </row>
    <row r="730" spans="1:26" ht="14.25" customHeight="1">
      <c r="A730" s="369"/>
      <c r="B730" s="369"/>
      <c r="C730" s="369"/>
      <c r="D730" s="369"/>
      <c r="E730" s="369"/>
      <c r="F730" s="369"/>
      <c r="G730" s="369"/>
      <c r="H730" s="370"/>
      <c r="I730" s="371"/>
      <c r="J730" s="371"/>
      <c r="K730" s="370"/>
      <c r="L730" s="369"/>
      <c r="M730" s="369"/>
      <c r="N730" s="369"/>
      <c r="O730" s="369"/>
      <c r="P730" s="369"/>
      <c r="Q730" s="369"/>
      <c r="R730" s="369"/>
      <c r="S730" s="369"/>
      <c r="T730" s="369"/>
      <c r="U730" s="369"/>
      <c r="V730" s="369"/>
      <c r="W730" s="369"/>
      <c r="X730" s="369"/>
      <c r="Y730" s="369"/>
      <c r="Z730" s="369"/>
    </row>
    <row r="731" spans="1:26" ht="14.25" customHeight="1">
      <c r="A731" s="369"/>
      <c r="B731" s="369"/>
      <c r="C731" s="369"/>
      <c r="D731" s="369"/>
      <c r="E731" s="369"/>
      <c r="F731" s="369"/>
      <c r="G731" s="369"/>
      <c r="H731" s="370"/>
      <c r="I731" s="371"/>
      <c r="J731" s="371"/>
      <c r="K731" s="370"/>
      <c r="L731" s="369"/>
      <c r="M731" s="369"/>
      <c r="N731" s="369"/>
      <c r="O731" s="369"/>
      <c r="P731" s="369"/>
      <c r="Q731" s="369"/>
      <c r="R731" s="369"/>
      <c r="S731" s="369"/>
      <c r="T731" s="369"/>
      <c r="U731" s="369"/>
      <c r="V731" s="369"/>
      <c r="W731" s="369"/>
      <c r="X731" s="369"/>
      <c r="Y731" s="369"/>
      <c r="Z731" s="369"/>
    </row>
    <row r="732" spans="1:26" ht="14.25" customHeight="1">
      <c r="A732" s="369"/>
      <c r="B732" s="369"/>
      <c r="C732" s="369"/>
      <c r="D732" s="369"/>
      <c r="E732" s="369"/>
      <c r="F732" s="369"/>
      <c r="G732" s="369"/>
      <c r="H732" s="370"/>
      <c r="I732" s="371"/>
      <c r="J732" s="371"/>
      <c r="K732" s="370"/>
      <c r="L732" s="369"/>
      <c r="M732" s="369"/>
      <c r="N732" s="369"/>
      <c r="O732" s="369"/>
      <c r="P732" s="369"/>
      <c r="Q732" s="369"/>
      <c r="R732" s="369"/>
      <c r="S732" s="369"/>
      <c r="T732" s="369"/>
      <c r="U732" s="369"/>
      <c r="V732" s="369"/>
      <c r="W732" s="369"/>
      <c r="X732" s="369"/>
      <c r="Y732" s="369"/>
      <c r="Z732" s="369"/>
    </row>
    <row r="733" spans="1:26" ht="14.25" customHeight="1">
      <c r="A733" s="369"/>
      <c r="B733" s="369"/>
      <c r="C733" s="369"/>
      <c r="D733" s="369"/>
      <c r="E733" s="369"/>
      <c r="F733" s="369"/>
      <c r="G733" s="369"/>
      <c r="H733" s="370"/>
      <c r="I733" s="371"/>
      <c r="J733" s="371"/>
      <c r="K733" s="370"/>
      <c r="L733" s="369"/>
      <c r="M733" s="369"/>
      <c r="N733" s="369"/>
      <c r="O733" s="369"/>
      <c r="P733" s="369"/>
      <c r="Q733" s="369"/>
      <c r="R733" s="369"/>
      <c r="S733" s="369"/>
      <c r="T733" s="369"/>
      <c r="U733" s="369"/>
      <c r="V733" s="369"/>
      <c r="W733" s="369"/>
      <c r="X733" s="369"/>
      <c r="Y733" s="369"/>
      <c r="Z733" s="369"/>
    </row>
    <row r="734" spans="1:26" ht="14.25" customHeight="1">
      <c r="A734" s="369"/>
      <c r="B734" s="369"/>
      <c r="C734" s="369"/>
      <c r="D734" s="369"/>
      <c r="E734" s="369"/>
      <c r="F734" s="369"/>
      <c r="G734" s="369"/>
      <c r="H734" s="370"/>
      <c r="I734" s="371"/>
      <c r="J734" s="371"/>
      <c r="K734" s="370"/>
      <c r="L734" s="369"/>
      <c r="M734" s="369"/>
      <c r="N734" s="369"/>
      <c r="O734" s="369"/>
      <c r="P734" s="369"/>
      <c r="Q734" s="369"/>
      <c r="R734" s="369"/>
      <c r="S734" s="369"/>
      <c r="T734" s="369"/>
      <c r="U734" s="369"/>
      <c r="V734" s="369"/>
      <c r="W734" s="369"/>
      <c r="X734" s="369"/>
      <c r="Y734" s="369"/>
      <c r="Z734" s="369"/>
    </row>
    <row r="735" spans="1:26" ht="14.25" customHeight="1">
      <c r="A735" s="369"/>
      <c r="B735" s="369"/>
      <c r="C735" s="369"/>
      <c r="D735" s="369"/>
      <c r="E735" s="369"/>
      <c r="F735" s="369"/>
      <c r="G735" s="369"/>
      <c r="H735" s="370"/>
      <c r="I735" s="371"/>
      <c r="J735" s="371"/>
      <c r="K735" s="370"/>
      <c r="L735" s="369"/>
      <c r="M735" s="369"/>
      <c r="N735" s="369"/>
      <c r="O735" s="369"/>
      <c r="P735" s="369"/>
      <c r="Q735" s="369"/>
      <c r="R735" s="369"/>
      <c r="S735" s="369"/>
      <c r="T735" s="369"/>
      <c r="U735" s="369"/>
      <c r="V735" s="369"/>
      <c r="W735" s="369"/>
      <c r="X735" s="369"/>
      <c r="Y735" s="369"/>
      <c r="Z735" s="369"/>
    </row>
    <row r="736" spans="1:26" ht="14.25" customHeight="1">
      <c r="A736" s="369"/>
      <c r="B736" s="369"/>
      <c r="C736" s="369"/>
      <c r="D736" s="369"/>
      <c r="E736" s="369"/>
      <c r="F736" s="369"/>
      <c r="G736" s="369"/>
      <c r="H736" s="370"/>
      <c r="I736" s="371"/>
      <c r="J736" s="371"/>
      <c r="K736" s="370"/>
      <c r="L736" s="369"/>
      <c r="M736" s="369"/>
      <c r="N736" s="369"/>
      <c r="O736" s="369"/>
      <c r="P736" s="369"/>
      <c r="Q736" s="369"/>
      <c r="R736" s="369"/>
      <c r="S736" s="369"/>
      <c r="T736" s="369"/>
      <c r="U736" s="369"/>
      <c r="V736" s="369"/>
      <c r="W736" s="369"/>
      <c r="X736" s="369"/>
      <c r="Y736" s="369"/>
      <c r="Z736" s="369"/>
    </row>
    <row r="737" spans="1:26" ht="14.25" customHeight="1">
      <c r="A737" s="369"/>
      <c r="B737" s="369"/>
      <c r="C737" s="369"/>
      <c r="D737" s="369"/>
      <c r="E737" s="369"/>
      <c r="F737" s="369"/>
      <c r="G737" s="369"/>
      <c r="H737" s="370"/>
      <c r="I737" s="371"/>
      <c r="J737" s="371"/>
      <c r="K737" s="370"/>
      <c r="L737" s="369"/>
      <c r="M737" s="369"/>
      <c r="N737" s="369"/>
      <c r="O737" s="369"/>
      <c r="P737" s="369"/>
      <c r="Q737" s="369"/>
      <c r="R737" s="369"/>
      <c r="S737" s="369"/>
      <c r="T737" s="369"/>
      <c r="U737" s="369"/>
      <c r="V737" s="369"/>
      <c r="W737" s="369"/>
      <c r="X737" s="369"/>
      <c r="Y737" s="369"/>
      <c r="Z737" s="369"/>
    </row>
    <row r="738" spans="1:26" ht="14.25" customHeight="1">
      <c r="A738" s="369"/>
      <c r="B738" s="369"/>
      <c r="C738" s="369"/>
      <c r="D738" s="369"/>
      <c r="E738" s="369"/>
      <c r="F738" s="369"/>
      <c r="G738" s="369"/>
      <c r="H738" s="370"/>
      <c r="I738" s="371"/>
      <c r="J738" s="371"/>
      <c r="K738" s="370"/>
      <c r="L738" s="369"/>
      <c r="M738" s="369"/>
      <c r="N738" s="369"/>
      <c r="O738" s="369"/>
      <c r="P738" s="369"/>
      <c r="Q738" s="369"/>
      <c r="R738" s="369"/>
      <c r="S738" s="369"/>
      <c r="T738" s="369"/>
      <c r="U738" s="369"/>
      <c r="V738" s="369"/>
      <c r="W738" s="369"/>
      <c r="X738" s="369"/>
      <c r="Y738" s="369"/>
      <c r="Z738" s="369"/>
    </row>
    <row r="739" spans="1:26" ht="14.25" customHeight="1">
      <c r="A739" s="369"/>
      <c r="B739" s="369"/>
      <c r="C739" s="369"/>
      <c r="D739" s="369"/>
      <c r="E739" s="369"/>
      <c r="F739" s="369"/>
      <c r="G739" s="369"/>
      <c r="H739" s="370"/>
      <c r="I739" s="371"/>
      <c r="J739" s="371"/>
      <c r="K739" s="370"/>
      <c r="L739" s="369"/>
      <c r="M739" s="369"/>
      <c r="N739" s="369"/>
      <c r="O739" s="369"/>
      <c r="P739" s="369"/>
      <c r="Q739" s="369"/>
      <c r="R739" s="369"/>
      <c r="S739" s="369"/>
      <c r="T739" s="369"/>
      <c r="U739" s="369"/>
      <c r="V739" s="369"/>
      <c r="W739" s="369"/>
      <c r="X739" s="369"/>
      <c r="Y739" s="369"/>
      <c r="Z739" s="369"/>
    </row>
    <row r="740" spans="1:26" ht="14.25" customHeight="1">
      <c r="A740" s="369"/>
      <c r="B740" s="369"/>
      <c r="C740" s="369"/>
      <c r="D740" s="369"/>
      <c r="E740" s="369"/>
      <c r="F740" s="369"/>
      <c r="G740" s="369"/>
      <c r="H740" s="370"/>
      <c r="I740" s="371"/>
      <c r="J740" s="371"/>
      <c r="K740" s="370"/>
      <c r="L740" s="369"/>
      <c r="M740" s="369"/>
      <c r="N740" s="369"/>
      <c r="O740" s="369"/>
      <c r="P740" s="369"/>
      <c r="Q740" s="369"/>
      <c r="R740" s="369"/>
      <c r="S740" s="369"/>
      <c r="T740" s="369"/>
      <c r="U740" s="369"/>
      <c r="V740" s="369"/>
      <c r="W740" s="369"/>
      <c r="X740" s="369"/>
      <c r="Y740" s="369"/>
      <c r="Z740" s="369"/>
    </row>
    <row r="741" spans="1:26" ht="14.25" customHeight="1">
      <c r="A741" s="369"/>
      <c r="B741" s="369"/>
      <c r="C741" s="369"/>
      <c r="D741" s="369"/>
      <c r="E741" s="369"/>
      <c r="F741" s="369"/>
      <c r="G741" s="369"/>
      <c r="H741" s="370"/>
      <c r="I741" s="371"/>
      <c r="J741" s="371"/>
      <c r="K741" s="370"/>
      <c r="L741" s="369"/>
      <c r="M741" s="369"/>
      <c r="N741" s="369"/>
      <c r="O741" s="369"/>
      <c r="P741" s="369"/>
      <c r="Q741" s="369"/>
      <c r="R741" s="369"/>
      <c r="S741" s="369"/>
      <c r="T741" s="369"/>
      <c r="U741" s="369"/>
      <c r="V741" s="369"/>
      <c r="W741" s="369"/>
      <c r="X741" s="369"/>
      <c r="Y741" s="369"/>
      <c r="Z741" s="369"/>
    </row>
    <row r="742" spans="1:26" ht="14.25" customHeight="1">
      <c r="A742" s="369"/>
      <c r="B742" s="369"/>
      <c r="C742" s="369"/>
      <c r="D742" s="369"/>
      <c r="E742" s="369"/>
      <c r="F742" s="369"/>
      <c r="G742" s="369"/>
      <c r="H742" s="370"/>
      <c r="I742" s="371"/>
      <c r="J742" s="371"/>
      <c r="K742" s="370"/>
      <c r="L742" s="369"/>
      <c r="M742" s="369"/>
      <c r="N742" s="369"/>
      <c r="O742" s="369"/>
      <c r="P742" s="369"/>
      <c r="Q742" s="369"/>
      <c r="R742" s="369"/>
      <c r="S742" s="369"/>
      <c r="T742" s="369"/>
      <c r="U742" s="369"/>
      <c r="V742" s="369"/>
      <c r="W742" s="369"/>
      <c r="X742" s="369"/>
      <c r="Y742" s="369"/>
      <c r="Z742" s="369"/>
    </row>
    <row r="743" spans="1:26" ht="14.25" customHeight="1">
      <c r="A743" s="369"/>
      <c r="B743" s="369"/>
      <c r="C743" s="369"/>
      <c r="D743" s="369"/>
      <c r="E743" s="369"/>
      <c r="F743" s="369"/>
      <c r="G743" s="369"/>
      <c r="H743" s="370"/>
      <c r="I743" s="371"/>
      <c r="J743" s="371"/>
      <c r="K743" s="370"/>
      <c r="L743" s="369"/>
      <c r="M743" s="369"/>
      <c r="N743" s="369"/>
      <c r="O743" s="369"/>
      <c r="P743" s="369"/>
      <c r="Q743" s="369"/>
      <c r="R743" s="369"/>
      <c r="S743" s="369"/>
      <c r="T743" s="369"/>
      <c r="U743" s="369"/>
      <c r="V743" s="369"/>
      <c r="W743" s="369"/>
      <c r="X743" s="369"/>
      <c r="Y743" s="369"/>
      <c r="Z743" s="369"/>
    </row>
    <row r="744" spans="1:26" ht="14.25" customHeight="1">
      <c r="A744" s="369"/>
      <c r="B744" s="369"/>
      <c r="C744" s="369"/>
      <c r="D744" s="369"/>
      <c r="E744" s="369"/>
      <c r="F744" s="369"/>
      <c r="G744" s="369"/>
      <c r="H744" s="370"/>
      <c r="I744" s="371"/>
      <c r="J744" s="371"/>
      <c r="K744" s="370"/>
      <c r="L744" s="369"/>
      <c r="M744" s="369"/>
      <c r="N744" s="369"/>
      <c r="O744" s="369"/>
      <c r="P744" s="369"/>
      <c r="Q744" s="369"/>
      <c r="R744" s="369"/>
      <c r="S744" s="369"/>
      <c r="T744" s="369"/>
      <c r="U744" s="369"/>
      <c r="V744" s="369"/>
      <c r="W744" s="369"/>
      <c r="X744" s="369"/>
      <c r="Y744" s="369"/>
      <c r="Z744" s="369"/>
    </row>
    <row r="745" spans="1:26" ht="14.25" customHeight="1">
      <c r="A745" s="369"/>
      <c r="B745" s="369"/>
      <c r="C745" s="369"/>
      <c r="D745" s="369"/>
      <c r="E745" s="369"/>
      <c r="F745" s="369"/>
      <c r="G745" s="369"/>
      <c r="H745" s="370"/>
      <c r="I745" s="371"/>
      <c r="J745" s="371"/>
      <c r="K745" s="370"/>
      <c r="L745" s="369"/>
      <c r="M745" s="369"/>
      <c r="N745" s="369"/>
      <c r="O745" s="369"/>
      <c r="P745" s="369"/>
      <c r="Q745" s="369"/>
      <c r="R745" s="369"/>
      <c r="S745" s="369"/>
      <c r="T745" s="369"/>
      <c r="U745" s="369"/>
      <c r="V745" s="369"/>
      <c r="W745" s="369"/>
      <c r="X745" s="369"/>
      <c r="Y745" s="369"/>
      <c r="Z745" s="369"/>
    </row>
    <row r="746" spans="1:26" ht="14.25" customHeight="1">
      <c r="A746" s="369"/>
      <c r="B746" s="369"/>
      <c r="C746" s="369"/>
      <c r="D746" s="369"/>
      <c r="E746" s="369"/>
      <c r="F746" s="369"/>
      <c r="G746" s="369"/>
      <c r="H746" s="370"/>
      <c r="I746" s="371"/>
      <c r="J746" s="371"/>
      <c r="K746" s="370"/>
      <c r="L746" s="369"/>
      <c r="M746" s="369"/>
      <c r="N746" s="369"/>
      <c r="O746" s="369"/>
      <c r="P746" s="369"/>
      <c r="Q746" s="369"/>
      <c r="R746" s="369"/>
      <c r="S746" s="369"/>
      <c r="T746" s="369"/>
      <c r="U746" s="369"/>
      <c r="V746" s="369"/>
      <c r="W746" s="369"/>
      <c r="X746" s="369"/>
      <c r="Y746" s="369"/>
      <c r="Z746" s="369"/>
    </row>
    <row r="747" spans="1:26" ht="14.25" customHeight="1">
      <c r="A747" s="369"/>
      <c r="B747" s="369"/>
      <c r="C747" s="369"/>
      <c r="D747" s="369"/>
      <c r="E747" s="369"/>
      <c r="F747" s="369"/>
      <c r="G747" s="369"/>
      <c r="H747" s="370"/>
      <c r="I747" s="371"/>
      <c r="J747" s="371"/>
      <c r="K747" s="370"/>
      <c r="L747" s="369"/>
      <c r="M747" s="369"/>
      <c r="N747" s="369"/>
      <c r="O747" s="369"/>
      <c r="P747" s="369"/>
      <c r="Q747" s="369"/>
      <c r="R747" s="369"/>
      <c r="S747" s="369"/>
      <c r="T747" s="369"/>
      <c r="U747" s="369"/>
      <c r="V747" s="369"/>
      <c r="W747" s="369"/>
      <c r="X747" s="369"/>
      <c r="Y747" s="369"/>
      <c r="Z747" s="369"/>
    </row>
    <row r="748" spans="1:26" ht="14.25" customHeight="1">
      <c r="A748" s="369"/>
      <c r="B748" s="369"/>
      <c r="C748" s="369"/>
      <c r="D748" s="369"/>
      <c r="E748" s="369"/>
      <c r="F748" s="369"/>
      <c r="G748" s="369"/>
      <c r="H748" s="370"/>
      <c r="I748" s="371"/>
      <c r="J748" s="371"/>
      <c r="K748" s="370"/>
      <c r="L748" s="369"/>
      <c r="M748" s="369"/>
      <c r="N748" s="369"/>
      <c r="O748" s="369"/>
      <c r="P748" s="369"/>
      <c r="Q748" s="369"/>
      <c r="R748" s="369"/>
      <c r="S748" s="369"/>
      <c r="T748" s="369"/>
      <c r="U748" s="369"/>
      <c r="V748" s="369"/>
      <c r="W748" s="369"/>
      <c r="X748" s="369"/>
      <c r="Y748" s="369"/>
      <c r="Z748" s="369"/>
    </row>
    <row r="749" spans="1:26" ht="14.25" customHeight="1">
      <c r="A749" s="369"/>
      <c r="B749" s="369"/>
      <c r="C749" s="369"/>
      <c r="D749" s="369"/>
      <c r="E749" s="369"/>
      <c r="F749" s="369"/>
      <c r="G749" s="369"/>
      <c r="H749" s="370"/>
      <c r="I749" s="371"/>
      <c r="J749" s="371"/>
      <c r="K749" s="370"/>
      <c r="L749" s="369"/>
      <c r="M749" s="369"/>
      <c r="N749" s="369"/>
      <c r="O749" s="369"/>
      <c r="P749" s="369"/>
      <c r="Q749" s="369"/>
      <c r="R749" s="369"/>
      <c r="S749" s="369"/>
      <c r="T749" s="369"/>
      <c r="U749" s="369"/>
      <c r="V749" s="369"/>
      <c r="W749" s="369"/>
      <c r="X749" s="369"/>
      <c r="Y749" s="369"/>
      <c r="Z749" s="369"/>
    </row>
    <row r="750" spans="1:26" ht="14.25" customHeight="1">
      <c r="A750" s="369"/>
      <c r="B750" s="369"/>
      <c r="C750" s="369"/>
      <c r="D750" s="369"/>
      <c r="E750" s="369"/>
      <c r="F750" s="369"/>
      <c r="G750" s="369"/>
      <c r="H750" s="370"/>
      <c r="I750" s="371"/>
      <c r="J750" s="371"/>
      <c r="K750" s="370"/>
      <c r="L750" s="369"/>
      <c r="M750" s="369"/>
      <c r="N750" s="369"/>
      <c r="O750" s="369"/>
      <c r="P750" s="369"/>
      <c r="Q750" s="369"/>
      <c r="R750" s="369"/>
      <c r="S750" s="369"/>
      <c r="T750" s="369"/>
      <c r="U750" s="369"/>
      <c r="V750" s="369"/>
      <c r="W750" s="369"/>
      <c r="X750" s="369"/>
      <c r="Y750" s="369"/>
      <c r="Z750" s="369"/>
    </row>
    <row r="751" spans="1:26" ht="14.25" customHeight="1">
      <c r="A751" s="369"/>
      <c r="B751" s="369"/>
      <c r="C751" s="369"/>
      <c r="D751" s="369"/>
      <c r="E751" s="369"/>
      <c r="F751" s="369"/>
      <c r="G751" s="369"/>
      <c r="H751" s="370"/>
      <c r="I751" s="371"/>
      <c r="J751" s="371"/>
      <c r="K751" s="370"/>
      <c r="L751" s="369"/>
      <c r="M751" s="369"/>
      <c r="N751" s="369"/>
      <c r="O751" s="369"/>
      <c r="P751" s="369"/>
      <c r="Q751" s="369"/>
      <c r="R751" s="369"/>
      <c r="S751" s="369"/>
      <c r="T751" s="369"/>
      <c r="U751" s="369"/>
      <c r="V751" s="369"/>
      <c r="W751" s="369"/>
      <c r="X751" s="369"/>
      <c r="Y751" s="369"/>
      <c r="Z751" s="369"/>
    </row>
    <row r="752" spans="1:26" ht="14.25" customHeight="1">
      <c r="A752" s="369"/>
      <c r="B752" s="369"/>
      <c r="C752" s="369"/>
      <c r="D752" s="369"/>
      <c r="E752" s="369"/>
      <c r="F752" s="369"/>
      <c r="G752" s="369"/>
      <c r="H752" s="370"/>
      <c r="I752" s="371"/>
      <c r="J752" s="371"/>
      <c r="K752" s="370"/>
      <c r="L752" s="369"/>
      <c r="M752" s="369"/>
      <c r="N752" s="369"/>
      <c r="O752" s="369"/>
      <c r="P752" s="369"/>
      <c r="Q752" s="369"/>
      <c r="R752" s="369"/>
      <c r="S752" s="369"/>
      <c r="T752" s="369"/>
      <c r="U752" s="369"/>
      <c r="V752" s="369"/>
      <c r="W752" s="369"/>
      <c r="X752" s="369"/>
      <c r="Y752" s="369"/>
      <c r="Z752" s="369"/>
    </row>
    <row r="753" spans="1:26" ht="14.25" customHeight="1">
      <c r="A753" s="369"/>
      <c r="B753" s="369"/>
      <c r="C753" s="369"/>
      <c r="D753" s="369"/>
      <c r="E753" s="369"/>
      <c r="F753" s="369"/>
      <c r="G753" s="369"/>
      <c r="H753" s="370"/>
      <c r="I753" s="371"/>
      <c r="J753" s="371"/>
      <c r="K753" s="370"/>
      <c r="L753" s="369"/>
      <c r="M753" s="369"/>
      <c r="N753" s="369"/>
      <c r="O753" s="369"/>
      <c r="P753" s="369"/>
      <c r="Q753" s="369"/>
      <c r="R753" s="369"/>
      <c r="S753" s="369"/>
      <c r="T753" s="369"/>
      <c r="U753" s="369"/>
      <c r="V753" s="369"/>
      <c r="W753" s="369"/>
      <c r="X753" s="369"/>
      <c r="Y753" s="369"/>
      <c r="Z753" s="369"/>
    </row>
    <row r="754" spans="1:26" ht="14.25" customHeight="1">
      <c r="A754" s="369"/>
      <c r="B754" s="369"/>
      <c r="C754" s="369"/>
      <c r="D754" s="369"/>
      <c r="E754" s="369"/>
      <c r="F754" s="369"/>
      <c r="G754" s="369"/>
      <c r="H754" s="370"/>
      <c r="I754" s="371"/>
      <c r="J754" s="371"/>
      <c r="K754" s="370"/>
      <c r="L754" s="369"/>
      <c r="M754" s="369"/>
      <c r="N754" s="369"/>
      <c r="O754" s="369"/>
      <c r="P754" s="369"/>
      <c r="Q754" s="369"/>
      <c r="R754" s="369"/>
      <c r="S754" s="369"/>
      <c r="T754" s="369"/>
      <c r="U754" s="369"/>
      <c r="V754" s="369"/>
      <c r="W754" s="369"/>
      <c r="X754" s="369"/>
      <c r="Y754" s="369"/>
      <c r="Z754" s="369"/>
    </row>
    <row r="755" spans="1:26" ht="14.25" customHeight="1">
      <c r="A755" s="369"/>
      <c r="B755" s="369"/>
      <c r="C755" s="369"/>
      <c r="D755" s="369"/>
      <c r="E755" s="369"/>
      <c r="F755" s="369"/>
      <c r="G755" s="369"/>
      <c r="H755" s="370"/>
      <c r="I755" s="371"/>
      <c r="J755" s="371"/>
      <c r="K755" s="370"/>
      <c r="L755" s="369"/>
      <c r="M755" s="369"/>
      <c r="N755" s="369"/>
      <c r="O755" s="369"/>
      <c r="P755" s="369"/>
      <c r="Q755" s="369"/>
      <c r="R755" s="369"/>
      <c r="S755" s="369"/>
      <c r="T755" s="369"/>
      <c r="U755" s="369"/>
      <c r="V755" s="369"/>
      <c r="W755" s="369"/>
      <c r="X755" s="369"/>
      <c r="Y755" s="369"/>
      <c r="Z755" s="369"/>
    </row>
    <row r="756" spans="1:26" ht="14.25" customHeight="1">
      <c r="A756" s="369"/>
      <c r="B756" s="369"/>
      <c r="C756" s="369"/>
      <c r="D756" s="369"/>
      <c r="E756" s="369"/>
      <c r="F756" s="369"/>
      <c r="G756" s="369"/>
      <c r="H756" s="370"/>
      <c r="I756" s="371"/>
      <c r="J756" s="371"/>
      <c r="K756" s="370"/>
      <c r="L756" s="369"/>
      <c r="M756" s="369"/>
      <c r="N756" s="369"/>
      <c r="O756" s="369"/>
      <c r="P756" s="369"/>
      <c r="Q756" s="369"/>
      <c r="R756" s="369"/>
      <c r="S756" s="369"/>
      <c r="T756" s="369"/>
      <c r="U756" s="369"/>
      <c r="V756" s="369"/>
      <c r="W756" s="369"/>
      <c r="X756" s="369"/>
      <c r="Y756" s="369"/>
      <c r="Z756" s="369"/>
    </row>
    <row r="757" spans="1:26" ht="14.25" customHeight="1">
      <c r="A757" s="369"/>
      <c r="B757" s="369"/>
      <c r="C757" s="369"/>
      <c r="D757" s="369"/>
      <c r="E757" s="369"/>
      <c r="F757" s="369"/>
      <c r="G757" s="369"/>
      <c r="H757" s="370"/>
      <c r="I757" s="371"/>
      <c r="J757" s="371"/>
      <c r="K757" s="370"/>
      <c r="L757" s="369"/>
      <c r="M757" s="369"/>
      <c r="N757" s="369"/>
      <c r="O757" s="369"/>
      <c r="P757" s="369"/>
      <c r="Q757" s="369"/>
      <c r="R757" s="369"/>
      <c r="S757" s="369"/>
      <c r="T757" s="369"/>
      <c r="U757" s="369"/>
      <c r="V757" s="369"/>
      <c r="W757" s="369"/>
      <c r="X757" s="369"/>
      <c r="Y757" s="369"/>
      <c r="Z757" s="369"/>
    </row>
    <row r="758" spans="1:26" ht="14.25" customHeight="1">
      <c r="A758" s="369"/>
      <c r="B758" s="369"/>
      <c r="C758" s="369"/>
      <c r="D758" s="369"/>
      <c r="E758" s="369"/>
      <c r="F758" s="369"/>
      <c r="G758" s="369"/>
      <c r="H758" s="370"/>
      <c r="I758" s="371"/>
      <c r="J758" s="371"/>
      <c r="K758" s="370"/>
      <c r="L758" s="369"/>
      <c r="M758" s="369"/>
      <c r="N758" s="369"/>
      <c r="O758" s="369"/>
      <c r="P758" s="369"/>
      <c r="Q758" s="369"/>
      <c r="R758" s="369"/>
      <c r="S758" s="369"/>
      <c r="T758" s="369"/>
      <c r="U758" s="369"/>
      <c r="V758" s="369"/>
      <c r="W758" s="369"/>
      <c r="X758" s="369"/>
      <c r="Y758" s="369"/>
      <c r="Z758" s="369"/>
    </row>
    <row r="759" spans="1:26" ht="14.25" customHeight="1">
      <c r="A759" s="369"/>
      <c r="B759" s="369"/>
      <c r="C759" s="369"/>
      <c r="D759" s="369"/>
      <c r="E759" s="369"/>
      <c r="F759" s="369"/>
      <c r="G759" s="369"/>
      <c r="H759" s="370"/>
      <c r="I759" s="371"/>
      <c r="J759" s="371"/>
      <c r="K759" s="370"/>
      <c r="L759" s="369"/>
      <c r="M759" s="369"/>
      <c r="N759" s="369"/>
      <c r="O759" s="369"/>
      <c r="P759" s="369"/>
      <c r="Q759" s="369"/>
      <c r="R759" s="369"/>
      <c r="S759" s="369"/>
      <c r="T759" s="369"/>
      <c r="U759" s="369"/>
      <c r="V759" s="369"/>
      <c r="W759" s="369"/>
      <c r="X759" s="369"/>
      <c r="Y759" s="369"/>
      <c r="Z759" s="369"/>
    </row>
    <row r="760" spans="1:26" ht="14.25" customHeight="1">
      <c r="A760" s="369"/>
      <c r="B760" s="369"/>
      <c r="C760" s="369"/>
      <c r="D760" s="369"/>
      <c r="E760" s="369"/>
      <c r="F760" s="369"/>
      <c r="G760" s="369"/>
      <c r="H760" s="370"/>
      <c r="I760" s="371"/>
      <c r="J760" s="371"/>
      <c r="K760" s="370"/>
      <c r="L760" s="369"/>
      <c r="M760" s="369"/>
      <c r="N760" s="369"/>
      <c r="O760" s="369"/>
      <c r="P760" s="369"/>
      <c r="Q760" s="369"/>
      <c r="R760" s="369"/>
      <c r="S760" s="369"/>
      <c r="T760" s="369"/>
      <c r="U760" s="369"/>
      <c r="V760" s="369"/>
      <c r="W760" s="369"/>
      <c r="X760" s="369"/>
      <c r="Y760" s="369"/>
      <c r="Z760" s="369"/>
    </row>
    <row r="761" spans="1:26" ht="14.25" customHeight="1">
      <c r="A761" s="369"/>
      <c r="B761" s="369"/>
      <c r="C761" s="369"/>
      <c r="D761" s="369"/>
      <c r="E761" s="369"/>
      <c r="F761" s="369"/>
      <c r="G761" s="369"/>
      <c r="H761" s="370"/>
      <c r="I761" s="371"/>
      <c r="J761" s="371"/>
      <c r="K761" s="370"/>
      <c r="L761" s="369"/>
      <c r="M761" s="369"/>
      <c r="N761" s="369"/>
      <c r="O761" s="369"/>
      <c r="P761" s="369"/>
      <c r="Q761" s="369"/>
      <c r="R761" s="369"/>
      <c r="S761" s="369"/>
      <c r="T761" s="369"/>
      <c r="U761" s="369"/>
      <c r="V761" s="369"/>
      <c r="W761" s="369"/>
      <c r="X761" s="369"/>
      <c r="Y761" s="369"/>
      <c r="Z761" s="369"/>
    </row>
    <row r="762" spans="1:26" ht="14.25" customHeight="1">
      <c r="A762" s="369"/>
      <c r="B762" s="369"/>
      <c r="C762" s="369"/>
      <c r="D762" s="369"/>
      <c r="E762" s="369"/>
      <c r="F762" s="369"/>
      <c r="G762" s="369"/>
      <c r="H762" s="370"/>
      <c r="I762" s="371"/>
      <c r="J762" s="371"/>
      <c r="K762" s="370"/>
      <c r="L762" s="369"/>
      <c r="M762" s="369"/>
      <c r="N762" s="369"/>
      <c r="O762" s="369"/>
      <c r="P762" s="369"/>
      <c r="Q762" s="369"/>
      <c r="R762" s="369"/>
      <c r="S762" s="369"/>
      <c r="T762" s="369"/>
      <c r="U762" s="369"/>
      <c r="V762" s="369"/>
      <c r="W762" s="369"/>
      <c r="X762" s="369"/>
      <c r="Y762" s="369"/>
      <c r="Z762" s="369"/>
    </row>
    <row r="763" spans="1:26" ht="14.25" customHeight="1">
      <c r="A763" s="369"/>
      <c r="B763" s="369"/>
      <c r="C763" s="369"/>
      <c r="D763" s="369"/>
      <c r="E763" s="369"/>
      <c r="F763" s="369"/>
      <c r="G763" s="369"/>
      <c r="H763" s="370"/>
      <c r="I763" s="371"/>
      <c r="J763" s="371"/>
      <c r="K763" s="370"/>
      <c r="L763" s="369"/>
      <c r="M763" s="369"/>
      <c r="N763" s="369"/>
      <c r="O763" s="369"/>
      <c r="P763" s="369"/>
      <c r="Q763" s="369"/>
      <c r="R763" s="369"/>
      <c r="S763" s="369"/>
      <c r="T763" s="369"/>
      <c r="U763" s="369"/>
      <c r="V763" s="369"/>
      <c r="W763" s="369"/>
      <c r="X763" s="369"/>
      <c r="Y763" s="369"/>
      <c r="Z763" s="369"/>
    </row>
    <row r="764" spans="1:26" ht="14.25" customHeight="1">
      <c r="A764" s="369"/>
      <c r="B764" s="369"/>
      <c r="C764" s="369"/>
      <c r="D764" s="369"/>
      <c r="E764" s="369"/>
      <c r="F764" s="369"/>
      <c r="G764" s="369"/>
      <c r="H764" s="370"/>
      <c r="I764" s="371"/>
      <c r="J764" s="371"/>
      <c r="K764" s="370"/>
      <c r="L764" s="369"/>
      <c r="M764" s="369"/>
      <c r="N764" s="369"/>
      <c r="O764" s="369"/>
      <c r="P764" s="369"/>
      <c r="Q764" s="369"/>
      <c r="R764" s="369"/>
      <c r="S764" s="369"/>
      <c r="T764" s="369"/>
      <c r="U764" s="369"/>
      <c r="V764" s="369"/>
      <c r="W764" s="369"/>
      <c r="X764" s="369"/>
      <c r="Y764" s="369"/>
      <c r="Z764" s="369"/>
    </row>
    <row r="765" spans="1:26" ht="14.25" customHeight="1">
      <c r="A765" s="369"/>
      <c r="B765" s="369"/>
      <c r="C765" s="369"/>
      <c r="D765" s="369"/>
      <c r="E765" s="369"/>
      <c r="F765" s="369"/>
      <c r="G765" s="369"/>
      <c r="H765" s="370"/>
      <c r="I765" s="371"/>
      <c r="J765" s="371"/>
      <c r="K765" s="370"/>
      <c r="L765" s="369"/>
      <c r="M765" s="369"/>
      <c r="N765" s="369"/>
      <c r="O765" s="369"/>
      <c r="P765" s="369"/>
      <c r="Q765" s="369"/>
      <c r="R765" s="369"/>
      <c r="S765" s="369"/>
      <c r="T765" s="369"/>
      <c r="U765" s="369"/>
      <c r="V765" s="369"/>
      <c r="W765" s="369"/>
      <c r="X765" s="369"/>
      <c r="Y765" s="369"/>
      <c r="Z765" s="369"/>
    </row>
    <row r="766" spans="1:26" ht="14.25" customHeight="1">
      <c r="A766" s="369"/>
      <c r="B766" s="369"/>
      <c r="C766" s="369"/>
      <c r="D766" s="369"/>
      <c r="E766" s="369"/>
      <c r="F766" s="369"/>
      <c r="G766" s="369"/>
      <c r="H766" s="370"/>
      <c r="I766" s="371"/>
      <c r="J766" s="371"/>
      <c r="K766" s="370"/>
      <c r="L766" s="369"/>
      <c r="M766" s="369"/>
      <c r="N766" s="369"/>
      <c r="O766" s="369"/>
      <c r="P766" s="369"/>
      <c r="Q766" s="369"/>
      <c r="R766" s="369"/>
      <c r="S766" s="369"/>
      <c r="T766" s="369"/>
      <c r="U766" s="369"/>
      <c r="V766" s="369"/>
      <c r="W766" s="369"/>
      <c r="X766" s="369"/>
      <c r="Y766" s="369"/>
      <c r="Z766" s="369"/>
    </row>
    <row r="767" spans="1:26" ht="14.25" customHeight="1">
      <c r="A767" s="369"/>
      <c r="B767" s="369"/>
      <c r="C767" s="369"/>
      <c r="D767" s="369"/>
      <c r="E767" s="369"/>
      <c r="F767" s="369"/>
      <c r="G767" s="369"/>
      <c r="H767" s="370"/>
      <c r="I767" s="371"/>
      <c r="J767" s="371"/>
      <c r="K767" s="370"/>
      <c r="L767" s="369"/>
      <c r="M767" s="369"/>
      <c r="N767" s="369"/>
      <c r="O767" s="369"/>
      <c r="P767" s="369"/>
      <c r="Q767" s="369"/>
      <c r="R767" s="369"/>
      <c r="S767" s="369"/>
      <c r="T767" s="369"/>
      <c r="U767" s="369"/>
      <c r="V767" s="369"/>
      <c r="W767" s="369"/>
      <c r="X767" s="369"/>
      <c r="Y767" s="369"/>
      <c r="Z767" s="369"/>
    </row>
    <row r="768" spans="1:26" ht="14.25" customHeight="1">
      <c r="A768" s="369"/>
      <c r="B768" s="369"/>
      <c r="C768" s="369"/>
      <c r="D768" s="369"/>
      <c r="E768" s="369"/>
      <c r="F768" s="369"/>
      <c r="G768" s="369"/>
      <c r="H768" s="370"/>
      <c r="I768" s="371"/>
      <c r="J768" s="371"/>
      <c r="K768" s="370"/>
      <c r="L768" s="369"/>
      <c r="M768" s="369"/>
      <c r="N768" s="369"/>
      <c r="O768" s="369"/>
      <c r="P768" s="369"/>
      <c r="Q768" s="369"/>
      <c r="R768" s="369"/>
      <c r="S768" s="369"/>
      <c r="T768" s="369"/>
      <c r="U768" s="369"/>
      <c r="V768" s="369"/>
      <c r="W768" s="369"/>
      <c r="X768" s="369"/>
      <c r="Y768" s="369"/>
      <c r="Z768" s="369"/>
    </row>
    <row r="769" spans="1:26" ht="14.25" customHeight="1">
      <c r="A769" s="369"/>
      <c r="B769" s="369"/>
      <c r="C769" s="369"/>
      <c r="D769" s="369"/>
      <c r="E769" s="369"/>
      <c r="F769" s="369"/>
      <c r="G769" s="369"/>
      <c r="H769" s="370"/>
      <c r="I769" s="371"/>
      <c r="J769" s="371"/>
      <c r="K769" s="370"/>
      <c r="L769" s="369"/>
      <c r="M769" s="369"/>
      <c r="N769" s="369"/>
      <c r="O769" s="369"/>
      <c r="P769" s="369"/>
      <c r="Q769" s="369"/>
      <c r="R769" s="369"/>
      <c r="S769" s="369"/>
      <c r="T769" s="369"/>
      <c r="U769" s="369"/>
      <c r="V769" s="369"/>
      <c r="W769" s="369"/>
      <c r="X769" s="369"/>
      <c r="Y769" s="369"/>
      <c r="Z769" s="369"/>
    </row>
    <row r="770" spans="1:26" ht="14.25" customHeight="1">
      <c r="A770" s="369"/>
      <c r="B770" s="369"/>
      <c r="C770" s="369"/>
      <c r="D770" s="369"/>
      <c r="E770" s="369"/>
      <c r="F770" s="369"/>
      <c r="G770" s="369"/>
      <c r="H770" s="370"/>
      <c r="I770" s="371"/>
      <c r="J770" s="371"/>
      <c r="K770" s="370"/>
      <c r="L770" s="369"/>
      <c r="M770" s="369"/>
      <c r="N770" s="369"/>
      <c r="O770" s="369"/>
      <c r="P770" s="369"/>
      <c r="Q770" s="369"/>
      <c r="R770" s="369"/>
      <c r="S770" s="369"/>
      <c r="T770" s="369"/>
      <c r="U770" s="369"/>
      <c r="V770" s="369"/>
      <c r="W770" s="369"/>
      <c r="X770" s="369"/>
      <c r="Y770" s="369"/>
      <c r="Z770" s="369"/>
    </row>
    <row r="771" spans="1:26" ht="14.25" customHeight="1">
      <c r="A771" s="369"/>
      <c r="B771" s="369"/>
      <c r="C771" s="369"/>
      <c r="D771" s="369"/>
      <c r="E771" s="369"/>
      <c r="F771" s="369"/>
      <c r="G771" s="369"/>
      <c r="H771" s="370"/>
      <c r="I771" s="371"/>
      <c r="J771" s="371"/>
      <c r="K771" s="370"/>
      <c r="L771" s="369"/>
      <c r="M771" s="369"/>
      <c r="N771" s="369"/>
      <c r="O771" s="369"/>
      <c r="P771" s="369"/>
      <c r="Q771" s="369"/>
      <c r="R771" s="369"/>
      <c r="S771" s="369"/>
      <c r="T771" s="369"/>
      <c r="U771" s="369"/>
      <c r="V771" s="369"/>
      <c r="W771" s="369"/>
      <c r="X771" s="369"/>
      <c r="Y771" s="369"/>
      <c r="Z771" s="369"/>
    </row>
    <row r="772" spans="1:26" ht="14.25" customHeight="1">
      <c r="A772" s="369"/>
      <c r="B772" s="369"/>
      <c r="C772" s="369"/>
      <c r="D772" s="369"/>
      <c r="E772" s="369"/>
      <c r="F772" s="369"/>
      <c r="G772" s="369"/>
      <c r="H772" s="370"/>
      <c r="I772" s="371"/>
      <c r="J772" s="371"/>
      <c r="K772" s="370"/>
      <c r="L772" s="369"/>
      <c r="M772" s="369"/>
      <c r="N772" s="369"/>
      <c r="O772" s="369"/>
      <c r="P772" s="369"/>
      <c r="Q772" s="369"/>
      <c r="R772" s="369"/>
      <c r="S772" s="369"/>
      <c r="T772" s="369"/>
      <c r="U772" s="369"/>
      <c r="V772" s="369"/>
      <c r="W772" s="369"/>
      <c r="X772" s="369"/>
      <c r="Y772" s="369"/>
      <c r="Z772" s="369"/>
    </row>
    <row r="773" spans="1:26" ht="14.25" customHeight="1">
      <c r="A773" s="369"/>
      <c r="B773" s="369"/>
      <c r="C773" s="369"/>
      <c r="D773" s="369"/>
      <c r="E773" s="369"/>
      <c r="F773" s="369"/>
      <c r="G773" s="369"/>
      <c r="H773" s="370"/>
      <c r="I773" s="371"/>
      <c r="J773" s="371"/>
      <c r="K773" s="370"/>
      <c r="L773" s="369"/>
      <c r="M773" s="369"/>
      <c r="N773" s="369"/>
      <c r="O773" s="369"/>
      <c r="P773" s="369"/>
      <c r="Q773" s="369"/>
      <c r="R773" s="369"/>
      <c r="S773" s="369"/>
      <c r="T773" s="369"/>
      <c r="U773" s="369"/>
      <c r="V773" s="369"/>
      <c r="W773" s="369"/>
      <c r="X773" s="369"/>
      <c r="Y773" s="369"/>
      <c r="Z773" s="369"/>
    </row>
    <row r="774" spans="1:26" ht="14.25" customHeight="1">
      <c r="A774" s="369"/>
      <c r="B774" s="369"/>
      <c r="C774" s="369"/>
      <c r="D774" s="369"/>
      <c r="E774" s="369"/>
      <c r="F774" s="369"/>
      <c r="G774" s="369"/>
      <c r="H774" s="370"/>
      <c r="I774" s="371"/>
      <c r="J774" s="371"/>
      <c r="K774" s="370"/>
      <c r="L774" s="369"/>
      <c r="M774" s="369"/>
      <c r="N774" s="369"/>
      <c r="O774" s="369"/>
      <c r="P774" s="369"/>
      <c r="Q774" s="369"/>
      <c r="R774" s="369"/>
      <c r="S774" s="369"/>
      <c r="T774" s="369"/>
      <c r="U774" s="369"/>
      <c r="V774" s="369"/>
      <c r="W774" s="369"/>
      <c r="X774" s="369"/>
      <c r="Y774" s="369"/>
      <c r="Z774" s="369"/>
    </row>
    <row r="775" spans="1:26" ht="14.25" customHeight="1">
      <c r="A775" s="369"/>
      <c r="B775" s="369"/>
      <c r="C775" s="369"/>
      <c r="D775" s="369"/>
      <c r="E775" s="369"/>
      <c r="F775" s="369"/>
      <c r="G775" s="369"/>
      <c r="H775" s="370"/>
      <c r="I775" s="371"/>
      <c r="J775" s="371"/>
      <c r="K775" s="370"/>
      <c r="L775" s="369"/>
      <c r="M775" s="369"/>
      <c r="N775" s="369"/>
      <c r="O775" s="369"/>
      <c r="P775" s="369"/>
      <c r="Q775" s="369"/>
      <c r="R775" s="369"/>
      <c r="S775" s="369"/>
      <c r="T775" s="369"/>
      <c r="U775" s="369"/>
      <c r="V775" s="369"/>
      <c r="W775" s="369"/>
      <c r="X775" s="369"/>
      <c r="Y775" s="369"/>
      <c r="Z775" s="369"/>
    </row>
    <row r="776" spans="1:26" ht="14.25" customHeight="1">
      <c r="A776" s="369"/>
      <c r="B776" s="369"/>
      <c r="C776" s="369"/>
      <c r="D776" s="369"/>
      <c r="E776" s="369"/>
      <c r="F776" s="369"/>
      <c r="G776" s="369"/>
      <c r="H776" s="370"/>
      <c r="I776" s="371"/>
      <c r="J776" s="371"/>
      <c r="K776" s="370"/>
      <c r="L776" s="369"/>
      <c r="M776" s="369"/>
      <c r="N776" s="369"/>
      <c r="O776" s="369"/>
      <c r="P776" s="369"/>
      <c r="Q776" s="369"/>
      <c r="R776" s="369"/>
      <c r="S776" s="369"/>
      <c r="T776" s="369"/>
      <c r="U776" s="369"/>
      <c r="V776" s="369"/>
      <c r="W776" s="369"/>
      <c r="X776" s="369"/>
      <c r="Y776" s="369"/>
      <c r="Z776" s="369"/>
    </row>
    <row r="777" spans="1:26" ht="14.25" customHeight="1">
      <c r="A777" s="369"/>
      <c r="B777" s="369"/>
      <c r="C777" s="369"/>
      <c r="D777" s="369"/>
      <c r="E777" s="369"/>
      <c r="F777" s="369"/>
      <c r="G777" s="369"/>
      <c r="H777" s="370"/>
      <c r="I777" s="371"/>
      <c r="J777" s="371"/>
      <c r="K777" s="370"/>
      <c r="L777" s="369"/>
      <c r="M777" s="369"/>
      <c r="N777" s="369"/>
      <c r="O777" s="369"/>
      <c r="P777" s="369"/>
      <c r="Q777" s="369"/>
      <c r="R777" s="369"/>
      <c r="S777" s="369"/>
      <c r="T777" s="369"/>
      <c r="U777" s="369"/>
      <c r="V777" s="369"/>
      <c r="W777" s="369"/>
      <c r="X777" s="369"/>
      <c r="Y777" s="369"/>
      <c r="Z777" s="369"/>
    </row>
    <row r="778" spans="1:26" ht="14.25" customHeight="1">
      <c r="A778" s="369"/>
      <c r="B778" s="369"/>
      <c r="C778" s="369"/>
      <c r="D778" s="369"/>
      <c r="E778" s="369"/>
      <c r="F778" s="369"/>
      <c r="G778" s="369"/>
      <c r="H778" s="370"/>
      <c r="I778" s="371"/>
      <c r="J778" s="371"/>
      <c r="K778" s="370"/>
      <c r="L778" s="369"/>
      <c r="M778" s="369"/>
      <c r="N778" s="369"/>
      <c r="O778" s="369"/>
      <c r="P778" s="369"/>
      <c r="Q778" s="369"/>
      <c r="R778" s="369"/>
      <c r="S778" s="369"/>
      <c r="T778" s="369"/>
      <c r="U778" s="369"/>
      <c r="V778" s="369"/>
      <c r="W778" s="369"/>
      <c r="X778" s="369"/>
      <c r="Y778" s="369"/>
      <c r="Z778" s="369"/>
    </row>
    <row r="779" spans="1:26" ht="14.25" customHeight="1">
      <c r="A779" s="369"/>
      <c r="B779" s="369"/>
      <c r="C779" s="369"/>
      <c r="D779" s="369"/>
      <c r="E779" s="369"/>
      <c r="F779" s="369"/>
      <c r="G779" s="369"/>
      <c r="H779" s="370"/>
      <c r="I779" s="371"/>
      <c r="J779" s="371"/>
      <c r="K779" s="370"/>
      <c r="L779" s="369"/>
      <c r="M779" s="369"/>
      <c r="N779" s="369"/>
      <c r="O779" s="369"/>
      <c r="P779" s="369"/>
      <c r="Q779" s="369"/>
      <c r="R779" s="369"/>
      <c r="S779" s="369"/>
      <c r="T779" s="369"/>
      <c r="U779" s="369"/>
      <c r="V779" s="369"/>
      <c r="W779" s="369"/>
      <c r="X779" s="369"/>
      <c r="Y779" s="369"/>
      <c r="Z779" s="369"/>
    </row>
    <row r="780" spans="1:26" ht="14.25" customHeight="1">
      <c r="A780" s="369"/>
      <c r="B780" s="369"/>
      <c r="C780" s="369"/>
      <c r="D780" s="369"/>
      <c r="E780" s="369"/>
      <c r="F780" s="369"/>
      <c r="G780" s="369"/>
      <c r="H780" s="370"/>
      <c r="I780" s="371"/>
      <c r="J780" s="371"/>
      <c r="K780" s="370"/>
      <c r="L780" s="369"/>
      <c r="M780" s="369"/>
      <c r="N780" s="369"/>
      <c r="O780" s="369"/>
      <c r="P780" s="369"/>
      <c r="Q780" s="369"/>
      <c r="R780" s="369"/>
      <c r="S780" s="369"/>
      <c r="T780" s="369"/>
      <c r="U780" s="369"/>
      <c r="V780" s="369"/>
      <c r="W780" s="369"/>
      <c r="X780" s="369"/>
      <c r="Y780" s="369"/>
      <c r="Z780" s="369"/>
    </row>
    <row r="781" spans="1:26" ht="14.25" customHeight="1">
      <c r="A781" s="369"/>
      <c r="B781" s="369"/>
      <c r="C781" s="369"/>
      <c r="D781" s="369"/>
      <c r="E781" s="369"/>
      <c r="F781" s="369"/>
      <c r="G781" s="369"/>
      <c r="H781" s="370"/>
      <c r="I781" s="371"/>
      <c r="J781" s="371"/>
      <c r="K781" s="370"/>
      <c r="L781" s="369"/>
      <c r="M781" s="369"/>
      <c r="N781" s="369"/>
      <c r="O781" s="369"/>
      <c r="P781" s="369"/>
      <c r="Q781" s="369"/>
      <c r="R781" s="369"/>
      <c r="S781" s="369"/>
      <c r="T781" s="369"/>
      <c r="U781" s="369"/>
      <c r="V781" s="369"/>
      <c r="W781" s="369"/>
      <c r="X781" s="369"/>
      <c r="Y781" s="369"/>
      <c r="Z781" s="369"/>
    </row>
    <row r="782" spans="1:26" ht="14.25" customHeight="1">
      <c r="A782" s="369"/>
      <c r="B782" s="369"/>
      <c r="C782" s="369"/>
      <c r="D782" s="369"/>
      <c r="E782" s="369"/>
      <c r="F782" s="369"/>
      <c r="G782" s="369"/>
      <c r="H782" s="370"/>
      <c r="I782" s="371"/>
      <c r="J782" s="371"/>
      <c r="K782" s="370"/>
      <c r="L782" s="369"/>
      <c r="M782" s="369"/>
      <c r="N782" s="369"/>
      <c r="O782" s="369"/>
      <c r="P782" s="369"/>
      <c r="Q782" s="369"/>
      <c r="R782" s="369"/>
      <c r="S782" s="369"/>
      <c r="T782" s="369"/>
      <c r="U782" s="369"/>
      <c r="V782" s="369"/>
      <c r="W782" s="369"/>
      <c r="X782" s="369"/>
      <c r="Y782" s="369"/>
      <c r="Z782" s="369"/>
    </row>
    <row r="783" spans="1:26" ht="14.25" customHeight="1">
      <c r="A783" s="369"/>
      <c r="B783" s="369"/>
      <c r="C783" s="369"/>
      <c r="D783" s="369"/>
      <c r="E783" s="369"/>
      <c r="F783" s="369"/>
      <c r="G783" s="369"/>
      <c r="H783" s="370"/>
      <c r="I783" s="371"/>
      <c r="J783" s="371"/>
      <c r="K783" s="370"/>
      <c r="L783" s="369"/>
      <c r="M783" s="369"/>
      <c r="N783" s="369"/>
      <c r="O783" s="369"/>
      <c r="P783" s="369"/>
      <c r="Q783" s="369"/>
      <c r="R783" s="369"/>
      <c r="S783" s="369"/>
      <c r="T783" s="369"/>
      <c r="U783" s="369"/>
      <c r="V783" s="369"/>
      <c r="W783" s="369"/>
      <c r="X783" s="369"/>
      <c r="Y783" s="369"/>
      <c r="Z783" s="369"/>
    </row>
    <row r="784" spans="1:26" ht="14.25" customHeight="1">
      <c r="A784" s="369"/>
      <c r="B784" s="369"/>
      <c r="C784" s="369"/>
      <c r="D784" s="369"/>
      <c r="E784" s="369"/>
      <c r="F784" s="369"/>
      <c r="G784" s="369"/>
      <c r="H784" s="370"/>
      <c r="I784" s="371"/>
      <c r="J784" s="371"/>
      <c r="K784" s="370"/>
      <c r="L784" s="369"/>
      <c r="M784" s="369"/>
      <c r="N784" s="369"/>
      <c r="O784" s="369"/>
      <c r="P784" s="369"/>
      <c r="Q784" s="369"/>
      <c r="R784" s="369"/>
      <c r="S784" s="369"/>
      <c r="T784" s="369"/>
      <c r="U784" s="369"/>
      <c r="V784" s="369"/>
      <c r="W784" s="369"/>
      <c r="X784" s="369"/>
      <c r="Y784" s="369"/>
      <c r="Z784" s="369"/>
    </row>
    <row r="785" spans="1:26" ht="14.25" customHeight="1">
      <c r="A785" s="369"/>
      <c r="B785" s="369"/>
      <c r="C785" s="369"/>
      <c r="D785" s="369"/>
      <c r="E785" s="369"/>
      <c r="F785" s="369"/>
      <c r="G785" s="369"/>
      <c r="H785" s="370"/>
      <c r="I785" s="371"/>
      <c r="J785" s="371"/>
      <c r="K785" s="370"/>
      <c r="L785" s="369"/>
      <c r="M785" s="369"/>
      <c r="N785" s="369"/>
      <c r="O785" s="369"/>
      <c r="P785" s="369"/>
      <c r="Q785" s="369"/>
      <c r="R785" s="369"/>
      <c r="S785" s="369"/>
      <c r="T785" s="369"/>
      <c r="U785" s="369"/>
      <c r="V785" s="369"/>
      <c r="W785" s="369"/>
      <c r="X785" s="369"/>
      <c r="Y785" s="369"/>
      <c r="Z785" s="369"/>
    </row>
    <row r="786" spans="1:26" ht="14.25" customHeight="1">
      <c r="A786" s="369"/>
      <c r="B786" s="369"/>
      <c r="C786" s="369"/>
      <c r="D786" s="369"/>
      <c r="E786" s="369"/>
      <c r="F786" s="369"/>
      <c r="G786" s="369"/>
      <c r="H786" s="370"/>
      <c r="I786" s="371"/>
      <c r="J786" s="371"/>
      <c r="K786" s="370"/>
      <c r="L786" s="369"/>
      <c r="M786" s="369"/>
      <c r="N786" s="369"/>
      <c r="O786" s="369"/>
      <c r="P786" s="369"/>
      <c r="Q786" s="369"/>
      <c r="R786" s="369"/>
      <c r="S786" s="369"/>
      <c r="T786" s="369"/>
      <c r="U786" s="369"/>
      <c r="V786" s="369"/>
      <c r="W786" s="369"/>
      <c r="X786" s="369"/>
      <c r="Y786" s="369"/>
      <c r="Z786" s="369"/>
    </row>
    <row r="787" spans="1:26" ht="14.25" customHeight="1">
      <c r="A787" s="369"/>
      <c r="B787" s="369"/>
      <c r="C787" s="369"/>
      <c r="D787" s="369"/>
      <c r="E787" s="369"/>
      <c r="F787" s="369"/>
      <c r="G787" s="369"/>
      <c r="H787" s="370"/>
      <c r="I787" s="371"/>
      <c r="J787" s="371"/>
      <c r="K787" s="370"/>
      <c r="L787" s="369"/>
      <c r="M787" s="369"/>
      <c r="N787" s="369"/>
      <c r="O787" s="369"/>
      <c r="P787" s="369"/>
      <c r="Q787" s="369"/>
      <c r="R787" s="369"/>
      <c r="S787" s="369"/>
      <c r="T787" s="369"/>
      <c r="U787" s="369"/>
      <c r="V787" s="369"/>
      <c r="W787" s="369"/>
      <c r="X787" s="369"/>
      <c r="Y787" s="369"/>
      <c r="Z787" s="369"/>
    </row>
    <row r="788" spans="1:26" ht="14.25" customHeight="1">
      <c r="A788" s="369"/>
      <c r="B788" s="369"/>
      <c r="C788" s="369"/>
      <c r="D788" s="369"/>
      <c r="E788" s="369"/>
      <c r="F788" s="369"/>
      <c r="G788" s="369"/>
      <c r="H788" s="370"/>
      <c r="I788" s="371"/>
      <c r="J788" s="371"/>
      <c r="K788" s="370"/>
      <c r="L788" s="369"/>
      <c r="M788" s="369"/>
      <c r="N788" s="369"/>
      <c r="O788" s="369"/>
      <c r="P788" s="369"/>
      <c r="Q788" s="369"/>
      <c r="R788" s="369"/>
      <c r="S788" s="369"/>
      <c r="T788" s="369"/>
      <c r="U788" s="369"/>
      <c r="V788" s="369"/>
      <c r="W788" s="369"/>
      <c r="X788" s="369"/>
      <c r="Y788" s="369"/>
      <c r="Z788" s="369"/>
    </row>
    <row r="789" spans="1:26" ht="14.25" customHeight="1">
      <c r="A789" s="369"/>
      <c r="B789" s="369"/>
      <c r="C789" s="369"/>
      <c r="D789" s="369"/>
      <c r="E789" s="369"/>
      <c r="F789" s="369"/>
      <c r="G789" s="369"/>
      <c r="H789" s="370"/>
      <c r="I789" s="371"/>
      <c r="J789" s="371"/>
      <c r="K789" s="370"/>
      <c r="L789" s="369"/>
      <c r="M789" s="369"/>
      <c r="N789" s="369"/>
      <c r="O789" s="369"/>
      <c r="P789" s="369"/>
      <c r="Q789" s="369"/>
      <c r="R789" s="369"/>
      <c r="S789" s="369"/>
      <c r="T789" s="369"/>
      <c r="U789" s="369"/>
      <c r="V789" s="369"/>
      <c r="W789" s="369"/>
      <c r="X789" s="369"/>
      <c r="Y789" s="369"/>
      <c r="Z789" s="369"/>
    </row>
    <row r="790" spans="1:26" ht="14.25" customHeight="1">
      <c r="A790" s="369"/>
      <c r="B790" s="369"/>
      <c r="C790" s="369"/>
      <c r="D790" s="369"/>
      <c r="E790" s="369"/>
      <c r="F790" s="369"/>
      <c r="G790" s="369"/>
      <c r="H790" s="370"/>
      <c r="I790" s="371"/>
      <c r="J790" s="371"/>
      <c r="K790" s="370"/>
      <c r="L790" s="369"/>
      <c r="M790" s="369"/>
      <c r="N790" s="369"/>
      <c r="O790" s="369"/>
      <c r="P790" s="369"/>
      <c r="Q790" s="369"/>
      <c r="R790" s="369"/>
      <c r="S790" s="369"/>
      <c r="T790" s="369"/>
      <c r="U790" s="369"/>
      <c r="V790" s="369"/>
      <c r="W790" s="369"/>
      <c r="X790" s="369"/>
      <c r="Y790" s="369"/>
      <c r="Z790" s="369"/>
    </row>
    <row r="791" spans="1:26" ht="14.25" customHeight="1">
      <c r="A791" s="369"/>
      <c r="B791" s="369"/>
      <c r="C791" s="369"/>
      <c r="D791" s="369"/>
      <c r="E791" s="369"/>
      <c r="F791" s="369"/>
      <c r="G791" s="369"/>
      <c r="H791" s="370"/>
      <c r="I791" s="371"/>
      <c r="J791" s="371"/>
      <c r="K791" s="370"/>
      <c r="L791" s="369"/>
      <c r="M791" s="369"/>
      <c r="N791" s="369"/>
      <c r="O791" s="369"/>
      <c r="P791" s="369"/>
      <c r="Q791" s="369"/>
      <c r="R791" s="369"/>
      <c r="S791" s="369"/>
      <c r="T791" s="369"/>
      <c r="U791" s="369"/>
      <c r="V791" s="369"/>
      <c r="W791" s="369"/>
      <c r="X791" s="369"/>
      <c r="Y791" s="369"/>
      <c r="Z791" s="369"/>
    </row>
    <row r="792" spans="1:26" ht="14.25" customHeight="1">
      <c r="A792" s="369"/>
      <c r="B792" s="369"/>
      <c r="C792" s="369"/>
      <c r="D792" s="369"/>
      <c r="E792" s="369"/>
      <c r="F792" s="369"/>
      <c r="G792" s="369"/>
      <c r="H792" s="370"/>
      <c r="I792" s="371"/>
      <c r="J792" s="371"/>
      <c r="K792" s="370"/>
      <c r="L792" s="369"/>
      <c r="M792" s="369"/>
      <c r="N792" s="369"/>
      <c r="O792" s="369"/>
      <c r="P792" s="369"/>
      <c r="Q792" s="369"/>
      <c r="R792" s="369"/>
      <c r="S792" s="369"/>
      <c r="T792" s="369"/>
      <c r="U792" s="369"/>
      <c r="V792" s="369"/>
      <c r="W792" s="369"/>
      <c r="X792" s="369"/>
      <c r="Y792" s="369"/>
      <c r="Z792" s="369"/>
    </row>
    <row r="793" spans="1:26" ht="14.25" customHeight="1">
      <c r="A793" s="369"/>
      <c r="B793" s="369"/>
      <c r="C793" s="369"/>
      <c r="D793" s="369"/>
      <c r="E793" s="369"/>
      <c r="F793" s="369"/>
      <c r="G793" s="369"/>
      <c r="H793" s="370"/>
      <c r="I793" s="371"/>
      <c r="J793" s="371"/>
      <c r="K793" s="370"/>
      <c r="L793" s="369"/>
      <c r="M793" s="369"/>
      <c r="N793" s="369"/>
      <c r="O793" s="369"/>
      <c r="P793" s="369"/>
      <c r="Q793" s="369"/>
      <c r="R793" s="369"/>
      <c r="S793" s="369"/>
      <c r="T793" s="369"/>
      <c r="U793" s="369"/>
      <c r="V793" s="369"/>
      <c r="W793" s="369"/>
      <c r="X793" s="369"/>
      <c r="Y793" s="369"/>
      <c r="Z793" s="369"/>
    </row>
    <row r="794" spans="1:26" ht="14.25" customHeight="1">
      <c r="A794" s="369"/>
      <c r="B794" s="369"/>
      <c r="C794" s="369"/>
      <c r="D794" s="369"/>
      <c r="E794" s="369"/>
      <c r="F794" s="369"/>
      <c r="G794" s="369"/>
      <c r="H794" s="370"/>
      <c r="I794" s="371"/>
      <c r="J794" s="371"/>
      <c r="K794" s="370"/>
      <c r="L794" s="369"/>
      <c r="M794" s="369"/>
      <c r="N794" s="369"/>
      <c r="O794" s="369"/>
      <c r="P794" s="369"/>
      <c r="Q794" s="369"/>
      <c r="R794" s="369"/>
      <c r="S794" s="369"/>
      <c r="T794" s="369"/>
      <c r="U794" s="369"/>
      <c r="V794" s="369"/>
      <c r="W794" s="369"/>
      <c r="X794" s="369"/>
      <c r="Y794" s="369"/>
      <c r="Z794" s="369"/>
    </row>
    <row r="795" spans="1:26" ht="14.25" customHeight="1">
      <c r="A795" s="369"/>
      <c r="B795" s="369"/>
      <c r="C795" s="369"/>
      <c r="D795" s="369"/>
      <c r="E795" s="369"/>
      <c r="F795" s="369"/>
      <c r="G795" s="369"/>
      <c r="H795" s="370"/>
      <c r="I795" s="371"/>
      <c r="J795" s="371"/>
      <c r="K795" s="370"/>
      <c r="L795" s="369"/>
      <c r="M795" s="369"/>
      <c r="N795" s="369"/>
      <c r="O795" s="369"/>
      <c r="P795" s="369"/>
      <c r="Q795" s="369"/>
      <c r="R795" s="369"/>
      <c r="S795" s="369"/>
      <c r="T795" s="369"/>
      <c r="U795" s="369"/>
      <c r="V795" s="369"/>
      <c r="W795" s="369"/>
      <c r="X795" s="369"/>
      <c r="Y795" s="369"/>
      <c r="Z795" s="369"/>
    </row>
    <row r="796" spans="1:26" ht="14.25" customHeight="1">
      <c r="A796" s="369"/>
      <c r="B796" s="369"/>
      <c r="C796" s="369"/>
      <c r="D796" s="369"/>
      <c r="E796" s="369"/>
      <c r="F796" s="369"/>
      <c r="G796" s="369"/>
      <c r="H796" s="370"/>
      <c r="I796" s="371"/>
      <c r="J796" s="371"/>
      <c r="K796" s="370"/>
      <c r="L796" s="369"/>
      <c r="M796" s="369"/>
      <c r="N796" s="369"/>
      <c r="O796" s="369"/>
      <c r="P796" s="369"/>
      <c r="Q796" s="369"/>
      <c r="R796" s="369"/>
      <c r="S796" s="369"/>
      <c r="T796" s="369"/>
      <c r="U796" s="369"/>
      <c r="V796" s="369"/>
      <c r="W796" s="369"/>
      <c r="X796" s="369"/>
      <c r="Y796" s="369"/>
      <c r="Z796" s="369"/>
    </row>
    <row r="797" spans="1:26" ht="14.25" customHeight="1">
      <c r="A797" s="369"/>
      <c r="B797" s="369"/>
      <c r="C797" s="369"/>
      <c r="D797" s="369"/>
      <c r="E797" s="369"/>
      <c r="F797" s="369"/>
      <c r="G797" s="369"/>
      <c r="H797" s="370"/>
      <c r="I797" s="371"/>
      <c r="J797" s="371"/>
      <c r="K797" s="370"/>
      <c r="L797" s="369"/>
      <c r="M797" s="369"/>
      <c r="N797" s="369"/>
      <c r="O797" s="369"/>
      <c r="P797" s="369"/>
      <c r="Q797" s="369"/>
      <c r="R797" s="369"/>
      <c r="S797" s="369"/>
      <c r="T797" s="369"/>
      <c r="U797" s="369"/>
      <c r="V797" s="369"/>
      <c r="W797" s="369"/>
      <c r="X797" s="369"/>
      <c r="Y797" s="369"/>
      <c r="Z797" s="369"/>
    </row>
    <row r="798" spans="1:26" ht="14.25" customHeight="1">
      <c r="A798" s="369"/>
      <c r="B798" s="369"/>
      <c r="C798" s="369"/>
      <c r="D798" s="369"/>
      <c r="E798" s="369"/>
      <c r="F798" s="369"/>
      <c r="G798" s="369"/>
      <c r="H798" s="370"/>
      <c r="I798" s="371"/>
      <c r="J798" s="371"/>
      <c r="K798" s="370"/>
      <c r="L798" s="369"/>
      <c r="M798" s="369"/>
      <c r="N798" s="369"/>
      <c r="O798" s="369"/>
      <c r="P798" s="369"/>
      <c r="Q798" s="369"/>
      <c r="R798" s="369"/>
      <c r="S798" s="369"/>
      <c r="T798" s="369"/>
      <c r="U798" s="369"/>
      <c r="V798" s="369"/>
      <c r="W798" s="369"/>
      <c r="X798" s="369"/>
      <c r="Y798" s="369"/>
      <c r="Z798" s="369"/>
    </row>
    <row r="799" spans="1:26" ht="14.25" customHeight="1">
      <c r="A799" s="369"/>
      <c r="B799" s="369"/>
      <c r="C799" s="369"/>
      <c r="D799" s="369"/>
      <c r="E799" s="369"/>
      <c r="F799" s="369"/>
      <c r="G799" s="369"/>
      <c r="H799" s="370"/>
      <c r="I799" s="371"/>
      <c r="J799" s="371"/>
      <c r="K799" s="370"/>
      <c r="L799" s="369"/>
      <c r="M799" s="369"/>
      <c r="N799" s="369"/>
      <c r="O799" s="369"/>
      <c r="P799" s="369"/>
      <c r="Q799" s="369"/>
      <c r="R799" s="369"/>
      <c r="S799" s="369"/>
      <c r="T799" s="369"/>
      <c r="U799" s="369"/>
      <c r="V799" s="369"/>
      <c r="W799" s="369"/>
      <c r="X799" s="369"/>
      <c r="Y799" s="369"/>
      <c r="Z799" s="369"/>
    </row>
    <row r="800" spans="1:26" ht="14.25" customHeight="1">
      <c r="A800" s="369"/>
      <c r="B800" s="369"/>
      <c r="C800" s="369"/>
      <c r="D800" s="369"/>
      <c r="E800" s="369"/>
      <c r="F800" s="369"/>
      <c r="G800" s="369"/>
      <c r="H800" s="370"/>
      <c r="I800" s="371"/>
      <c r="J800" s="371"/>
      <c r="K800" s="370"/>
      <c r="L800" s="369"/>
      <c r="M800" s="369"/>
      <c r="N800" s="369"/>
      <c r="O800" s="369"/>
      <c r="P800" s="369"/>
      <c r="Q800" s="369"/>
      <c r="R800" s="369"/>
      <c r="S800" s="369"/>
      <c r="T800" s="369"/>
      <c r="U800" s="369"/>
      <c r="V800" s="369"/>
      <c r="W800" s="369"/>
      <c r="X800" s="369"/>
      <c r="Y800" s="369"/>
      <c r="Z800" s="369"/>
    </row>
    <row r="801" spans="1:26" ht="14.25" customHeight="1">
      <c r="A801" s="369"/>
      <c r="B801" s="369"/>
      <c r="C801" s="369"/>
      <c r="D801" s="369"/>
      <c r="E801" s="369"/>
      <c r="F801" s="369"/>
      <c r="G801" s="369"/>
      <c r="H801" s="370"/>
      <c r="I801" s="371"/>
      <c r="J801" s="371"/>
      <c r="K801" s="370"/>
      <c r="L801" s="369"/>
      <c r="M801" s="369"/>
      <c r="N801" s="369"/>
      <c r="O801" s="369"/>
      <c r="P801" s="369"/>
      <c r="Q801" s="369"/>
      <c r="R801" s="369"/>
      <c r="S801" s="369"/>
      <c r="T801" s="369"/>
      <c r="U801" s="369"/>
      <c r="V801" s="369"/>
      <c r="W801" s="369"/>
      <c r="X801" s="369"/>
      <c r="Y801" s="369"/>
      <c r="Z801" s="369"/>
    </row>
    <row r="802" spans="1:26" ht="14.25" customHeight="1">
      <c r="A802" s="369"/>
      <c r="B802" s="369"/>
      <c r="C802" s="369"/>
      <c r="D802" s="369"/>
      <c r="E802" s="369"/>
      <c r="F802" s="369"/>
      <c r="G802" s="369"/>
      <c r="H802" s="370"/>
      <c r="I802" s="371"/>
      <c r="J802" s="371"/>
      <c r="K802" s="370"/>
      <c r="L802" s="369"/>
      <c r="M802" s="369"/>
      <c r="N802" s="369"/>
      <c r="O802" s="369"/>
      <c r="P802" s="369"/>
      <c r="Q802" s="369"/>
      <c r="R802" s="369"/>
      <c r="S802" s="369"/>
      <c r="T802" s="369"/>
      <c r="U802" s="369"/>
      <c r="V802" s="369"/>
      <c r="W802" s="369"/>
      <c r="X802" s="369"/>
      <c r="Y802" s="369"/>
      <c r="Z802" s="369"/>
    </row>
    <row r="803" spans="1:26" ht="14.25" customHeight="1">
      <c r="A803" s="369"/>
      <c r="B803" s="369"/>
      <c r="C803" s="369"/>
      <c r="D803" s="369"/>
      <c r="E803" s="369"/>
      <c r="F803" s="369"/>
      <c r="G803" s="369"/>
      <c r="H803" s="370"/>
      <c r="I803" s="371"/>
      <c r="J803" s="371"/>
      <c r="K803" s="370"/>
      <c r="L803" s="369"/>
      <c r="M803" s="369"/>
      <c r="N803" s="369"/>
      <c r="O803" s="369"/>
      <c r="P803" s="369"/>
      <c r="Q803" s="369"/>
      <c r="R803" s="369"/>
      <c r="S803" s="369"/>
      <c r="T803" s="369"/>
      <c r="U803" s="369"/>
      <c r="V803" s="369"/>
      <c r="W803" s="369"/>
      <c r="X803" s="369"/>
      <c r="Y803" s="369"/>
      <c r="Z803" s="369"/>
    </row>
    <row r="804" spans="1:26" ht="14.25" customHeight="1">
      <c r="A804" s="369"/>
      <c r="B804" s="369"/>
      <c r="C804" s="369"/>
      <c r="D804" s="369"/>
      <c r="E804" s="369"/>
      <c r="F804" s="369"/>
      <c r="G804" s="369"/>
      <c r="H804" s="370"/>
      <c r="I804" s="371"/>
      <c r="J804" s="371"/>
      <c r="K804" s="370"/>
      <c r="L804" s="369"/>
      <c r="M804" s="369"/>
      <c r="N804" s="369"/>
      <c r="O804" s="369"/>
      <c r="P804" s="369"/>
      <c r="Q804" s="369"/>
      <c r="R804" s="369"/>
      <c r="S804" s="369"/>
      <c r="T804" s="369"/>
      <c r="U804" s="369"/>
      <c r="V804" s="369"/>
      <c r="W804" s="369"/>
      <c r="X804" s="369"/>
      <c r="Y804" s="369"/>
      <c r="Z804" s="369"/>
    </row>
    <row r="805" spans="1:26" ht="14.25" customHeight="1">
      <c r="A805" s="369"/>
      <c r="B805" s="369"/>
      <c r="C805" s="369"/>
      <c r="D805" s="369"/>
      <c r="E805" s="369"/>
      <c r="F805" s="369"/>
      <c r="G805" s="369"/>
      <c r="H805" s="370"/>
      <c r="I805" s="371"/>
      <c r="J805" s="371"/>
      <c r="K805" s="370"/>
      <c r="L805" s="369"/>
      <c r="M805" s="369"/>
      <c r="N805" s="369"/>
      <c r="O805" s="369"/>
      <c r="P805" s="369"/>
      <c r="Q805" s="369"/>
      <c r="R805" s="369"/>
      <c r="S805" s="369"/>
      <c r="T805" s="369"/>
      <c r="U805" s="369"/>
      <c r="V805" s="369"/>
      <c r="W805" s="369"/>
      <c r="X805" s="369"/>
      <c r="Y805" s="369"/>
      <c r="Z805" s="369"/>
    </row>
    <row r="806" spans="1:26" ht="14.25" customHeight="1">
      <c r="A806" s="369"/>
      <c r="B806" s="369"/>
      <c r="C806" s="369"/>
      <c r="D806" s="369"/>
      <c r="E806" s="369"/>
      <c r="F806" s="369"/>
      <c r="G806" s="369"/>
      <c r="H806" s="370"/>
      <c r="I806" s="371"/>
      <c r="J806" s="371"/>
      <c r="K806" s="370"/>
      <c r="L806" s="369"/>
      <c r="M806" s="369"/>
      <c r="N806" s="369"/>
      <c r="O806" s="369"/>
      <c r="P806" s="369"/>
      <c r="Q806" s="369"/>
      <c r="R806" s="369"/>
      <c r="S806" s="369"/>
      <c r="T806" s="369"/>
      <c r="U806" s="369"/>
      <c r="V806" s="369"/>
      <c r="W806" s="369"/>
      <c r="X806" s="369"/>
      <c r="Y806" s="369"/>
      <c r="Z806" s="369"/>
    </row>
    <row r="807" spans="1:26" ht="14.25" customHeight="1">
      <c r="A807" s="369"/>
      <c r="B807" s="369"/>
      <c r="C807" s="369"/>
      <c r="D807" s="369"/>
      <c r="E807" s="369"/>
      <c r="F807" s="369"/>
      <c r="G807" s="369"/>
      <c r="H807" s="370"/>
      <c r="I807" s="371"/>
      <c r="J807" s="371"/>
      <c r="K807" s="370"/>
      <c r="L807" s="369"/>
      <c r="M807" s="369"/>
      <c r="N807" s="369"/>
      <c r="O807" s="369"/>
      <c r="P807" s="369"/>
      <c r="Q807" s="369"/>
      <c r="R807" s="369"/>
      <c r="S807" s="369"/>
      <c r="T807" s="369"/>
      <c r="U807" s="369"/>
      <c r="V807" s="369"/>
      <c r="W807" s="369"/>
      <c r="X807" s="369"/>
      <c r="Y807" s="369"/>
      <c r="Z807" s="369"/>
    </row>
    <row r="808" spans="1:26" ht="14.25" customHeight="1">
      <c r="A808" s="369"/>
      <c r="B808" s="369"/>
      <c r="C808" s="369"/>
      <c r="D808" s="369"/>
      <c r="E808" s="369"/>
      <c r="F808" s="369"/>
      <c r="G808" s="369"/>
      <c r="H808" s="370"/>
      <c r="I808" s="371"/>
      <c r="J808" s="371"/>
      <c r="K808" s="370"/>
      <c r="L808" s="369"/>
      <c r="M808" s="369"/>
      <c r="N808" s="369"/>
      <c r="O808" s="369"/>
      <c r="P808" s="369"/>
      <c r="Q808" s="369"/>
      <c r="R808" s="369"/>
      <c r="S808" s="369"/>
      <c r="T808" s="369"/>
      <c r="U808" s="369"/>
      <c r="V808" s="369"/>
      <c r="W808" s="369"/>
      <c r="X808" s="369"/>
      <c r="Y808" s="369"/>
      <c r="Z808" s="369"/>
    </row>
    <row r="809" spans="1:26" ht="14.25" customHeight="1">
      <c r="A809" s="369"/>
      <c r="B809" s="369"/>
      <c r="C809" s="369"/>
      <c r="D809" s="369"/>
      <c r="E809" s="369"/>
      <c r="F809" s="369"/>
      <c r="G809" s="369"/>
      <c r="H809" s="370"/>
      <c r="I809" s="371"/>
      <c r="J809" s="371"/>
      <c r="K809" s="370"/>
      <c r="L809" s="369"/>
      <c r="M809" s="369"/>
      <c r="N809" s="369"/>
      <c r="O809" s="369"/>
      <c r="P809" s="369"/>
      <c r="Q809" s="369"/>
      <c r="R809" s="369"/>
      <c r="S809" s="369"/>
      <c r="T809" s="369"/>
      <c r="U809" s="369"/>
      <c r="V809" s="369"/>
      <c r="W809" s="369"/>
      <c r="X809" s="369"/>
      <c r="Y809" s="369"/>
      <c r="Z809" s="369"/>
    </row>
    <row r="810" spans="1:26" ht="14.25" customHeight="1">
      <c r="A810" s="369"/>
      <c r="B810" s="369"/>
      <c r="C810" s="369"/>
      <c r="D810" s="369"/>
      <c r="E810" s="369"/>
      <c r="F810" s="369"/>
      <c r="G810" s="369"/>
      <c r="H810" s="370"/>
      <c r="I810" s="371"/>
      <c r="J810" s="371"/>
      <c r="K810" s="370"/>
      <c r="L810" s="369"/>
      <c r="M810" s="369"/>
      <c r="N810" s="369"/>
      <c r="O810" s="369"/>
      <c r="P810" s="369"/>
      <c r="Q810" s="369"/>
      <c r="R810" s="369"/>
      <c r="S810" s="369"/>
      <c r="T810" s="369"/>
      <c r="U810" s="369"/>
      <c r="V810" s="369"/>
      <c r="W810" s="369"/>
      <c r="X810" s="369"/>
      <c r="Y810" s="369"/>
      <c r="Z810" s="369"/>
    </row>
    <row r="811" spans="1:26" ht="14.25" customHeight="1">
      <c r="A811" s="369"/>
      <c r="B811" s="369"/>
      <c r="C811" s="369"/>
      <c r="D811" s="369"/>
      <c r="E811" s="369"/>
      <c r="F811" s="369"/>
      <c r="G811" s="369"/>
      <c r="H811" s="370"/>
      <c r="I811" s="371"/>
      <c r="J811" s="371"/>
      <c r="K811" s="370"/>
      <c r="L811" s="369"/>
      <c r="M811" s="369"/>
      <c r="N811" s="369"/>
      <c r="O811" s="369"/>
      <c r="P811" s="369"/>
      <c r="Q811" s="369"/>
      <c r="R811" s="369"/>
      <c r="S811" s="369"/>
      <c r="T811" s="369"/>
      <c r="U811" s="369"/>
      <c r="V811" s="369"/>
      <c r="W811" s="369"/>
      <c r="X811" s="369"/>
      <c r="Y811" s="369"/>
      <c r="Z811" s="369"/>
    </row>
    <row r="812" spans="1:26" ht="14.25" customHeight="1">
      <c r="A812" s="369"/>
      <c r="B812" s="369"/>
      <c r="C812" s="369"/>
      <c r="D812" s="369"/>
      <c r="E812" s="369"/>
      <c r="F812" s="369"/>
      <c r="G812" s="369"/>
      <c r="H812" s="370"/>
      <c r="I812" s="371"/>
      <c r="J812" s="371"/>
      <c r="K812" s="370"/>
      <c r="L812" s="369"/>
      <c r="M812" s="369"/>
      <c r="N812" s="369"/>
      <c r="O812" s="369"/>
      <c r="P812" s="369"/>
      <c r="Q812" s="369"/>
      <c r="R812" s="369"/>
      <c r="S812" s="369"/>
      <c r="T812" s="369"/>
      <c r="U812" s="369"/>
      <c r="V812" s="369"/>
      <c r="W812" s="369"/>
      <c r="X812" s="369"/>
      <c r="Y812" s="369"/>
      <c r="Z812" s="369"/>
    </row>
    <row r="813" spans="1:26" ht="14.25" customHeight="1">
      <c r="A813" s="369"/>
      <c r="B813" s="369"/>
      <c r="C813" s="369"/>
      <c r="D813" s="369"/>
      <c r="E813" s="369"/>
      <c r="F813" s="369"/>
      <c r="G813" s="369"/>
      <c r="H813" s="370"/>
      <c r="I813" s="371"/>
      <c r="J813" s="371"/>
      <c r="K813" s="370"/>
      <c r="L813" s="369"/>
      <c r="M813" s="369"/>
      <c r="N813" s="369"/>
      <c r="O813" s="369"/>
      <c r="P813" s="369"/>
      <c r="Q813" s="369"/>
      <c r="R813" s="369"/>
      <c r="S813" s="369"/>
      <c r="T813" s="369"/>
      <c r="U813" s="369"/>
      <c r="V813" s="369"/>
      <c r="W813" s="369"/>
      <c r="X813" s="369"/>
      <c r="Y813" s="369"/>
      <c r="Z813" s="369"/>
    </row>
    <row r="814" spans="1:26" ht="14.25" customHeight="1">
      <c r="A814" s="369"/>
      <c r="B814" s="369"/>
      <c r="C814" s="369"/>
      <c r="D814" s="369"/>
      <c r="E814" s="369"/>
      <c r="F814" s="369"/>
      <c r="G814" s="369"/>
      <c r="H814" s="370"/>
      <c r="I814" s="371"/>
      <c r="J814" s="371"/>
      <c r="K814" s="370"/>
      <c r="L814" s="369"/>
      <c r="M814" s="369"/>
      <c r="N814" s="369"/>
      <c r="O814" s="369"/>
      <c r="P814" s="369"/>
      <c r="Q814" s="369"/>
      <c r="R814" s="369"/>
      <c r="S814" s="369"/>
      <c r="T814" s="369"/>
      <c r="U814" s="369"/>
      <c r="V814" s="369"/>
      <c r="W814" s="369"/>
      <c r="X814" s="369"/>
      <c r="Y814" s="369"/>
      <c r="Z814" s="369"/>
    </row>
    <row r="815" spans="1:26" ht="14.25" customHeight="1">
      <c r="A815" s="369"/>
      <c r="B815" s="369"/>
      <c r="C815" s="369"/>
      <c r="D815" s="369"/>
      <c r="E815" s="369"/>
      <c r="F815" s="369"/>
      <c r="G815" s="369"/>
      <c r="H815" s="370"/>
      <c r="I815" s="371"/>
      <c r="J815" s="371"/>
      <c r="K815" s="370"/>
      <c r="L815" s="369"/>
      <c r="M815" s="369"/>
      <c r="N815" s="369"/>
      <c r="O815" s="369"/>
      <c r="P815" s="369"/>
      <c r="Q815" s="369"/>
      <c r="R815" s="369"/>
      <c r="S815" s="369"/>
      <c r="T815" s="369"/>
      <c r="U815" s="369"/>
      <c r="V815" s="369"/>
      <c r="W815" s="369"/>
      <c r="X815" s="369"/>
      <c r="Y815" s="369"/>
      <c r="Z815" s="369"/>
    </row>
    <row r="816" spans="1:26" ht="14.25" customHeight="1">
      <c r="A816" s="369"/>
      <c r="B816" s="369"/>
      <c r="C816" s="369"/>
      <c r="D816" s="369"/>
      <c r="E816" s="369"/>
      <c r="F816" s="369"/>
      <c r="G816" s="369"/>
      <c r="H816" s="370"/>
      <c r="I816" s="371"/>
      <c r="J816" s="371"/>
      <c r="K816" s="370"/>
      <c r="L816" s="369"/>
      <c r="M816" s="369"/>
      <c r="N816" s="369"/>
      <c r="O816" s="369"/>
      <c r="P816" s="369"/>
      <c r="Q816" s="369"/>
      <c r="R816" s="369"/>
      <c r="S816" s="369"/>
      <c r="T816" s="369"/>
      <c r="U816" s="369"/>
      <c r="V816" s="369"/>
      <c r="W816" s="369"/>
      <c r="X816" s="369"/>
      <c r="Y816" s="369"/>
      <c r="Z816" s="369"/>
    </row>
    <row r="817" spans="1:26" ht="14.25" customHeight="1">
      <c r="A817" s="369"/>
      <c r="B817" s="369"/>
      <c r="C817" s="369"/>
      <c r="D817" s="369"/>
      <c r="E817" s="369"/>
      <c r="F817" s="369"/>
      <c r="G817" s="369"/>
      <c r="H817" s="370"/>
      <c r="I817" s="371"/>
      <c r="J817" s="371"/>
      <c r="K817" s="370"/>
      <c r="L817" s="369"/>
      <c r="M817" s="369"/>
      <c r="N817" s="369"/>
      <c r="O817" s="369"/>
      <c r="P817" s="369"/>
      <c r="Q817" s="369"/>
      <c r="R817" s="369"/>
      <c r="S817" s="369"/>
      <c r="T817" s="369"/>
      <c r="U817" s="369"/>
      <c r="V817" s="369"/>
      <c r="W817" s="369"/>
      <c r="X817" s="369"/>
      <c r="Y817" s="369"/>
      <c r="Z817" s="369"/>
    </row>
    <row r="818" spans="1:26" ht="14.25" customHeight="1">
      <c r="A818" s="369"/>
      <c r="B818" s="369"/>
      <c r="C818" s="369"/>
      <c r="D818" s="369"/>
      <c r="E818" s="369"/>
      <c r="F818" s="369"/>
      <c r="G818" s="369"/>
      <c r="H818" s="370"/>
      <c r="I818" s="371"/>
      <c r="J818" s="371"/>
      <c r="K818" s="370"/>
      <c r="L818" s="369"/>
      <c r="M818" s="369"/>
      <c r="N818" s="369"/>
      <c r="O818" s="369"/>
      <c r="P818" s="369"/>
      <c r="Q818" s="369"/>
      <c r="R818" s="369"/>
      <c r="S818" s="369"/>
      <c r="T818" s="369"/>
      <c r="U818" s="369"/>
      <c r="V818" s="369"/>
      <c r="W818" s="369"/>
      <c r="X818" s="369"/>
      <c r="Y818" s="369"/>
      <c r="Z818" s="369"/>
    </row>
    <row r="819" spans="1:26" ht="14.25" customHeight="1">
      <c r="A819" s="369"/>
      <c r="B819" s="369"/>
      <c r="C819" s="369"/>
      <c r="D819" s="369"/>
      <c r="E819" s="369"/>
      <c r="F819" s="369"/>
      <c r="G819" s="369"/>
      <c r="H819" s="370"/>
      <c r="I819" s="371"/>
      <c r="J819" s="371"/>
      <c r="K819" s="370"/>
      <c r="L819" s="369"/>
      <c r="M819" s="369"/>
      <c r="N819" s="369"/>
      <c r="O819" s="369"/>
      <c r="P819" s="369"/>
      <c r="Q819" s="369"/>
      <c r="R819" s="369"/>
      <c r="S819" s="369"/>
      <c r="T819" s="369"/>
      <c r="U819" s="369"/>
      <c r="V819" s="369"/>
      <c r="W819" s="369"/>
      <c r="X819" s="369"/>
      <c r="Y819" s="369"/>
      <c r="Z819" s="369"/>
    </row>
    <row r="820" spans="1:26" ht="14.25" customHeight="1">
      <c r="A820" s="369"/>
      <c r="B820" s="369"/>
      <c r="C820" s="369"/>
      <c r="D820" s="369"/>
      <c r="E820" s="369"/>
      <c r="F820" s="369"/>
      <c r="G820" s="369"/>
      <c r="H820" s="370"/>
      <c r="I820" s="371"/>
      <c r="J820" s="371"/>
      <c r="K820" s="370"/>
      <c r="L820" s="369"/>
      <c r="M820" s="369"/>
      <c r="N820" s="369"/>
      <c r="O820" s="369"/>
      <c r="P820" s="369"/>
      <c r="Q820" s="369"/>
      <c r="R820" s="369"/>
      <c r="S820" s="369"/>
      <c r="T820" s="369"/>
      <c r="U820" s="369"/>
      <c r="V820" s="369"/>
      <c r="W820" s="369"/>
      <c r="X820" s="369"/>
      <c r="Y820" s="369"/>
      <c r="Z820" s="369"/>
    </row>
    <row r="821" spans="1:26" ht="14.25" customHeight="1">
      <c r="A821" s="369"/>
      <c r="B821" s="369"/>
      <c r="C821" s="369"/>
      <c r="D821" s="369"/>
      <c r="E821" s="369"/>
      <c r="F821" s="369"/>
      <c r="G821" s="369"/>
      <c r="H821" s="370"/>
      <c r="I821" s="371"/>
      <c r="J821" s="371"/>
      <c r="K821" s="370"/>
      <c r="L821" s="369"/>
      <c r="M821" s="369"/>
      <c r="N821" s="369"/>
      <c r="O821" s="369"/>
      <c r="P821" s="369"/>
      <c r="Q821" s="369"/>
      <c r="R821" s="369"/>
      <c r="S821" s="369"/>
      <c r="T821" s="369"/>
      <c r="U821" s="369"/>
      <c r="V821" s="369"/>
      <c r="W821" s="369"/>
      <c r="X821" s="369"/>
      <c r="Y821" s="369"/>
      <c r="Z821" s="369"/>
    </row>
    <row r="822" spans="1:26" ht="14.25" customHeight="1">
      <c r="A822" s="369"/>
      <c r="B822" s="369"/>
      <c r="C822" s="369"/>
      <c r="D822" s="369"/>
      <c r="E822" s="369"/>
      <c r="F822" s="369"/>
      <c r="G822" s="369"/>
      <c r="H822" s="370"/>
      <c r="I822" s="371"/>
      <c r="J822" s="371"/>
      <c r="K822" s="370"/>
      <c r="L822" s="369"/>
      <c r="M822" s="369"/>
      <c r="N822" s="369"/>
      <c r="O822" s="369"/>
      <c r="P822" s="369"/>
      <c r="Q822" s="369"/>
      <c r="R822" s="369"/>
      <c r="S822" s="369"/>
      <c r="T822" s="369"/>
      <c r="U822" s="369"/>
      <c r="V822" s="369"/>
      <c r="W822" s="369"/>
      <c r="X822" s="369"/>
      <c r="Y822" s="369"/>
      <c r="Z822" s="369"/>
    </row>
    <row r="823" spans="1:26" ht="14.25" customHeight="1">
      <c r="A823" s="369"/>
      <c r="B823" s="369"/>
      <c r="C823" s="369"/>
      <c r="D823" s="369"/>
      <c r="E823" s="369"/>
      <c r="F823" s="369"/>
      <c r="G823" s="369"/>
      <c r="H823" s="370"/>
      <c r="I823" s="371"/>
      <c r="J823" s="371"/>
      <c r="K823" s="370"/>
      <c r="L823" s="369"/>
      <c r="M823" s="369"/>
      <c r="N823" s="369"/>
      <c r="O823" s="369"/>
      <c r="P823" s="369"/>
      <c r="Q823" s="369"/>
      <c r="R823" s="369"/>
      <c r="S823" s="369"/>
      <c r="T823" s="369"/>
      <c r="U823" s="369"/>
      <c r="V823" s="369"/>
      <c r="W823" s="369"/>
      <c r="X823" s="369"/>
      <c r="Y823" s="369"/>
      <c r="Z823" s="369"/>
    </row>
    <row r="824" spans="1:26" ht="14.25" customHeight="1">
      <c r="A824" s="369"/>
      <c r="B824" s="369"/>
      <c r="C824" s="369"/>
      <c r="D824" s="369"/>
      <c r="E824" s="369"/>
      <c r="F824" s="369"/>
      <c r="G824" s="369"/>
      <c r="H824" s="370"/>
      <c r="I824" s="371"/>
      <c r="J824" s="371"/>
      <c r="K824" s="370"/>
      <c r="L824" s="369"/>
      <c r="M824" s="369"/>
      <c r="N824" s="369"/>
      <c r="O824" s="369"/>
      <c r="P824" s="369"/>
      <c r="Q824" s="369"/>
      <c r="R824" s="369"/>
      <c r="S824" s="369"/>
      <c r="T824" s="369"/>
      <c r="U824" s="369"/>
      <c r="V824" s="369"/>
      <c r="W824" s="369"/>
      <c r="X824" s="369"/>
      <c r="Y824" s="369"/>
      <c r="Z824" s="369"/>
    </row>
    <row r="825" spans="1:26" ht="14.25" customHeight="1">
      <c r="A825" s="369"/>
      <c r="B825" s="369"/>
      <c r="C825" s="369"/>
      <c r="D825" s="369"/>
      <c r="E825" s="369"/>
      <c r="F825" s="369"/>
      <c r="G825" s="369"/>
      <c r="H825" s="370"/>
      <c r="I825" s="371"/>
      <c r="J825" s="371"/>
      <c r="K825" s="370"/>
      <c r="L825" s="369"/>
      <c r="M825" s="369"/>
      <c r="N825" s="369"/>
      <c r="O825" s="369"/>
      <c r="P825" s="369"/>
      <c r="Q825" s="369"/>
      <c r="R825" s="369"/>
      <c r="S825" s="369"/>
      <c r="T825" s="369"/>
      <c r="U825" s="369"/>
      <c r="V825" s="369"/>
      <c r="W825" s="369"/>
      <c r="X825" s="369"/>
      <c r="Y825" s="369"/>
      <c r="Z825" s="369"/>
    </row>
    <row r="826" spans="1:26" ht="14.25" customHeight="1">
      <c r="A826" s="369"/>
      <c r="B826" s="369"/>
      <c r="C826" s="369"/>
      <c r="D826" s="369"/>
      <c r="E826" s="369"/>
      <c r="F826" s="369"/>
      <c r="G826" s="369"/>
      <c r="H826" s="370"/>
      <c r="I826" s="371"/>
      <c r="J826" s="371"/>
      <c r="K826" s="370"/>
      <c r="L826" s="369"/>
      <c r="M826" s="369"/>
      <c r="N826" s="369"/>
      <c r="O826" s="369"/>
      <c r="P826" s="369"/>
      <c r="Q826" s="369"/>
      <c r="R826" s="369"/>
      <c r="S826" s="369"/>
      <c r="T826" s="369"/>
      <c r="U826" s="369"/>
      <c r="V826" s="369"/>
      <c r="W826" s="369"/>
      <c r="X826" s="369"/>
      <c r="Y826" s="369"/>
      <c r="Z826" s="369"/>
    </row>
    <row r="827" spans="1:26" ht="14.25" customHeight="1">
      <c r="A827" s="369"/>
      <c r="B827" s="369"/>
      <c r="C827" s="369"/>
      <c r="D827" s="369"/>
      <c r="E827" s="369"/>
      <c r="F827" s="369"/>
      <c r="G827" s="369"/>
      <c r="H827" s="370"/>
      <c r="I827" s="371"/>
      <c r="J827" s="371"/>
      <c r="K827" s="370"/>
      <c r="L827" s="369"/>
      <c r="M827" s="369"/>
      <c r="N827" s="369"/>
      <c r="O827" s="369"/>
      <c r="P827" s="369"/>
      <c r="Q827" s="369"/>
      <c r="R827" s="369"/>
      <c r="S827" s="369"/>
      <c r="T827" s="369"/>
      <c r="U827" s="369"/>
      <c r="V827" s="369"/>
      <c r="W827" s="369"/>
      <c r="X827" s="369"/>
      <c r="Y827" s="369"/>
      <c r="Z827" s="369"/>
    </row>
    <row r="828" spans="1:26" ht="14.25" customHeight="1">
      <c r="A828" s="369"/>
      <c r="B828" s="369"/>
      <c r="C828" s="369"/>
      <c r="D828" s="369"/>
      <c r="E828" s="369"/>
      <c r="F828" s="369"/>
      <c r="G828" s="369"/>
      <c r="H828" s="370"/>
      <c r="I828" s="371"/>
      <c r="J828" s="371"/>
      <c r="K828" s="370"/>
      <c r="L828" s="369"/>
      <c r="M828" s="369"/>
      <c r="N828" s="369"/>
      <c r="O828" s="369"/>
      <c r="P828" s="369"/>
      <c r="Q828" s="369"/>
      <c r="R828" s="369"/>
      <c r="S828" s="369"/>
      <c r="T828" s="369"/>
      <c r="U828" s="369"/>
      <c r="V828" s="369"/>
      <c r="W828" s="369"/>
      <c r="X828" s="369"/>
      <c r="Y828" s="369"/>
      <c r="Z828" s="369"/>
    </row>
    <row r="829" spans="1:26" ht="14.25" customHeight="1">
      <c r="A829" s="369"/>
      <c r="B829" s="369"/>
      <c r="C829" s="369"/>
      <c r="D829" s="369"/>
      <c r="E829" s="369"/>
      <c r="F829" s="369"/>
      <c r="G829" s="369"/>
      <c r="H829" s="370"/>
      <c r="I829" s="371"/>
      <c r="J829" s="371"/>
      <c r="K829" s="370"/>
      <c r="L829" s="369"/>
      <c r="M829" s="369"/>
      <c r="N829" s="369"/>
      <c r="O829" s="369"/>
      <c r="P829" s="369"/>
      <c r="Q829" s="369"/>
      <c r="R829" s="369"/>
      <c r="S829" s="369"/>
      <c r="T829" s="369"/>
      <c r="U829" s="369"/>
      <c r="V829" s="369"/>
      <c r="W829" s="369"/>
      <c r="X829" s="369"/>
      <c r="Y829" s="369"/>
      <c r="Z829" s="369"/>
    </row>
    <row r="830" spans="1:26" ht="14.25" customHeight="1">
      <c r="A830" s="369"/>
      <c r="B830" s="369"/>
      <c r="C830" s="369"/>
      <c r="D830" s="369"/>
      <c r="E830" s="369"/>
      <c r="F830" s="369"/>
      <c r="G830" s="369"/>
      <c r="H830" s="370"/>
      <c r="I830" s="371"/>
      <c r="J830" s="371"/>
      <c r="K830" s="370"/>
      <c r="L830" s="369"/>
      <c r="M830" s="369"/>
      <c r="N830" s="369"/>
      <c r="O830" s="369"/>
      <c r="P830" s="369"/>
      <c r="Q830" s="369"/>
      <c r="R830" s="369"/>
      <c r="S830" s="369"/>
      <c r="T830" s="369"/>
      <c r="U830" s="369"/>
      <c r="V830" s="369"/>
      <c r="W830" s="369"/>
      <c r="X830" s="369"/>
      <c r="Y830" s="369"/>
      <c r="Z830" s="369"/>
    </row>
    <row r="831" spans="1:26" ht="14.25" customHeight="1">
      <c r="A831" s="369"/>
      <c r="B831" s="369"/>
      <c r="C831" s="369"/>
      <c r="D831" s="369"/>
      <c r="E831" s="369"/>
      <c r="F831" s="369"/>
      <c r="G831" s="369"/>
      <c r="H831" s="370"/>
      <c r="I831" s="371"/>
      <c r="J831" s="371"/>
      <c r="K831" s="370"/>
      <c r="L831" s="369"/>
      <c r="M831" s="369"/>
      <c r="N831" s="369"/>
      <c r="O831" s="369"/>
      <c r="P831" s="369"/>
      <c r="Q831" s="369"/>
      <c r="R831" s="369"/>
      <c r="S831" s="369"/>
      <c r="T831" s="369"/>
      <c r="U831" s="369"/>
      <c r="V831" s="369"/>
      <c r="W831" s="369"/>
      <c r="X831" s="369"/>
      <c r="Y831" s="369"/>
      <c r="Z831" s="369"/>
    </row>
    <row r="832" spans="1:26" ht="14.25" customHeight="1">
      <c r="A832" s="369"/>
      <c r="B832" s="369"/>
      <c r="C832" s="369"/>
      <c r="D832" s="369"/>
      <c r="E832" s="369"/>
      <c r="F832" s="369"/>
      <c r="G832" s="369"/>
      <c r="H832" s="370"/>
      <c r="I832" s="371"/>
      <c r="J832" s="371"/>
      <c r="K832" s="370"/>
      <c r="L832" s="369"/>
      <c r="M832" s="369"/>
      <c r="N832" s="369"/>
      <c r="O832" s="369"/>
      <c r="P832" s="369"/>
      <c r="Q832" s="369"/>
      <c r="R832" s="369"/>
      <c r="S832" s="369"/>
      <c r="T832" s="369"/>
      <c r="U832" s="369"/>
      <c r="V832" s="369"/>
      <c r="W832" s="369"/>
      <c r="X832" s="369"/>
      <c r="Y832" s="369"/>
      <c r="Z832" s="369"/>
    </row>
    <row r="833" spans="1:26" ht="14.25" customHeight="1">
      <c r="A833" s="369"/>
      <c r="B833" s="369"/>
      <c r="C833" s="369"/>
      <c r="D833" s="369"/>
      <c r="E833" s="369"/>
      <c r="F833" s="369"/>
      <c r="G833" s="369"/>
      <c r="H833" s="370"/>
      <c r="I833" s="371"/>
      <c r="J833" s="371"/>
      <c r="K833" s="370"/>
      <c r="L833" s="369"/>
      <c r="M833" s="369"/>
      <c r="N833" s="369"/>
      <c r="O833" s="369"/>
      <c r="P833" s="369"/>
      <c r="Q833" s="369"/>
      <c r="R833" s="369"/>
      <c r="S833" s="369"/>
      <c r="T833" s="369"/>
      <c r="U833" s="369"/>
      <c r="V833" s="369"/>
      <c r="W833" s="369"/>
      <c r="X833" s="369"/>
      <c r="Y833" s="369"/>
      <c r="Z833" s="369"/>
    </row>
    <row r="834" spans="1:26" ht="14.25" customHeight="1">
      <c r="A834" s="369"/>
      <c r="B834" s="369"/>
      <c r="C834" s="369"/>
      <c r="D834" s="369"/>
      <c r="E834" s="369"/>
      <c r="F834" s="369"/>
      <c r="G834" s="369"/>
      <c r="H834" s="370"/>
      <c r="I834" s="371"/>
      <c r="J834" s="371"/>
      <c r="K834" s="370"/>
      <c r="L834" s="369"/>
      <c r="M834" s="369"/>
      <c r="N834" s="369"/>
      <c r="O834" s="369"/>
      <c r="P834" s="369"/>
      <c r="Q834" s="369"/>
      <c r="R834" s="369"/>
      <c r="S834" s="369"/>
      <c r="T834" s="369"/>
      <c r="U834" s="369"/>
      <c r="V834" s="369"/>
      <c r="W834" s="369"/>
      <c r="X834" s="369"/>
      <c r="Y834" s="369"/>
      <c r="Z834" s="369"/>
    </row>
    <row r="835" spans="1:26" ht="14.25" customHeight="1">
      <c r="A835" s="369"/>
      <c r="B835" s="369"/>
      <c r="C835" s="369"/>
      <c r="D835" s="369"/>
      <c r="E835" s="369"/>
      <c r="F835" s="369"/>
      <c r="G835" s="369"/>
      <c r="H835" s="370"/>
      <c r="I835" s="371"/>
      <c r="J835" s="371"/>
      <c r="K835" s="370"/>
      <c r="L835" s="369"/>
      <c r="M835" s="369"/>
      <c r="N835" s="369"/>
      <c r="O835" s="369"/>
      <c r="P835" s="369"/>
      <c r="Q835" s="369"/>
      <c r="R835" s="369"/>
      <c r="S835" s="369"/>
      <c r="T835" s="369"/>
      <c r="U835" s="369"/>
      <c r="V835" s="369"/>
      <c r="W835" s="369"/>
      <c r="X835" s="369"/>
      <c r="Y835" s="369"/>
      <c r="Z835" s="369"/>
    </row>
    <row r="836" spans="1:26" ht="14.25" customHeight="1">
      <c r="A836" s="369"/>
      <c r="B836" s="369"/>
      <c r="C836" s="369"/>
      <c r="D836" s="369"/>
      <c r="E836" s="369"/>
      <c r="F836" s="369"/>
      <c r="G836" s="369"/>
      <c r="H836" s="370"/>
      <c r="I836" s="371"/>
      <c r="J836" s="371"/>
      <c r="K836" s="370"/>
      <c r="L836" s="369"/>
      <c r="M836" s="369"/>
      <c r="N836" s="369"/>
      <c r="O836" s="369"/>
      <c r="P836" s="369"/>
      <c r="Q836" s="369"/>
      <c r="R836" s="369"/>
      <c r="S836" s="369"/>
      <c r="T836" s="369"/>
      <c r="U836" s="369"/>
      <c r="V836" s="369"/>
      <c r="W836" s="369"/>
      <c r="X836" s="369"/>
      <c r="Y836" s="369"/>
      <c r="Z836" s="369"/>
    </row>
    <row r="837" spans="1:26" ht="14.25" customHeight="1">
      <c r="A837" s="369"/>
      <c r="B837" s="369"/>
      <c r="C837" s="369"/>
      <c r="D837" s="369"/>
      <c r="E837" s="369"/>
      <c r="F837" s="369"/>
      <c r="G837" s="369"/>
      <c r="H837" s="370"/>
      <c r="I837" s="371"/>
      <c r="J837" s="371"/>
      <c r="K837" s="370"/>
      <c r="L837" s="369"/>
      <c r="M837" s="369"/>
      <c r="N837" s="369"/>
      <c r="O837" s="369"/>
      <c r="P837" s="369"/>
      <c r="Q837" s="369"/>
      <c r="R837" s="369"/>
      <c r="S837" s="369"/>
      <c r="T837" s="369"/>
      <c r="U837" s="369"/>
      <c r="V837" s="369"/>
      <c r="W837" s="369"/>
      <c r="X837" s="369"/>
      <c r="Y837" s="369"/>
      <c r="Z837" s="369"/>
    </row>
    <row r="838" spans="1:26" ht="14.25" customHeight="1">
      <c r="A838" s="369"/>
      <c r="B838" s="369"/>
      <c r="C838" s="369"/>
      <c r="D838" s="369"/>
      <c r="E838" s="369"/>
      <c r="F838" s="369"/>
      <c r="G838" s="369"/>
      <c r="H838" s="370"/>
      <c r="I838" s="371"/>
      <c r="J838" s="371"/>
      <c r="K838" s="370"/>
      <c r="L838" s="369"/>
      <c r="M838" s="369"/>
      <c r="N838" s="369"/>
      <c r="O838" s="369"/>
      <c r="P838" s="369"/>
      <c r="Q838" s="369"/>
      <c r="R838" s="369"/>
      <c r="S838" s="369"/>
      <c r="T838" s="369"/>
      <c r="U838" s="369"/>
      <c r="V838" s="369"/>
      <c r="W838" s="369"/>
      <c r="X838" s="369"/>
      <c r="Y838" s="369"/>
      <c r="Z838" s="369"/>
    </row>
    <row r="839" spans="1:26" ht="14.25" customHeight="1">
      <c r="A839" s="369"/>
      <c r="B839" s="369"/>
      <c r="C839" s="369"/>
      <c r="D839" s="369"/>
      <c r="E839" s="369"/>
      <c r="F839" s="369"/>
      <c r="G839" s="369"/>
      <c r="H839" s="370"/>
      <c r="I839" s="371"/>
      <c r="J839" s="371"/>
      <c r="K839" s="370"/>
      <c r="L839" s="369"/>
      <c r="M839" s="369"/>
      <c r="N839" s="369"/>
      <c r="O839" s="369"/>
      <c r="P839" s="369"/>
      <c r="Q839" s="369"/>
      <c r="R839" s="369"/>
      <c r="S839" s="369"/>
      <c r="T839" s="369"/>
      <c r="U839" s="369"/>
      <c r="V839" s="369"/>
      <c r="W839" s="369"/>
      <c r="X839" s="369"/>
      <c r="Y839" s="369"/>
      <c r="Z839" s="369"/>
    </row>
    <row r="840" spans="1:26" ht="14.25" customHeight="1">
      <c r="A840" s="369"/>
      <c r="B840" s="369"/>
      <c r="C840" s="369"/>
      <c r="D840" s="369"/>
      <c r="E840" s="369"/>
      <c r="F840" s="369"/>
      <c r="G840" s="369"/>
      <c r="H840" s="370"/>
      <c r="I840" s="371"/>
      <c r="J840" s="371"/>
      <c r="K840" s="370"/>
      <c r="L840" s="369"/>
      <c r="M840" s="369"/>
      <c r="N840" s="369"/>
      <c r="O840" s="369"/>
      <c r="P840" s="369"/>
      <c r="Q840" s="369"/>
      <c r="R840" s="369"/>
      <c r="S840" s="369"/>
      <c r="T840" s="369"/>
      <c r="U840" s="369"/>
      <c r="V840" s="369"/>
      <c r="W840" s="369"/>
      <c r="X840" s="369"/>
      <c r="Y840" s="369"/>
      <c r="Z840" s="369"/>
    </row>
    <row r="841" spans="1:26" ht="14.25" customHeight="1">
      <c r="A841" s="369"/>
      <c r="B841" s="369"/>
      <c r="C841" s="369"/>
      <c r="D841" s="369"/>
      <c r="E841" s="369"/>
      <c r="F841" s="369"/>
      <c r="G841" s="369"/>
      <c r="H841" s="370"/>
      <c r="I841" s="371"/>
      <c r="J841" s="371"/>
      <c r="K841" s="370"/>
      <c r="L841" s="369"/>
      <c r="M841" s="369"/>
      <c r="N841" s="369"/>
      <c r="O841" s="369"/>
      <c r="P841" s="369"/>
      <c r="Q841" s="369"/>
      <c r="R841" s="369"/>
      <c r="S841" s="369"/>
      <c r="T841" s="369"/>
      <c r="U841" s="369"/>
      <c r="V841" s="369"/>
      <c r="W841" s="369"/>
      <c r="X841" s="369"/>
      <c r="Y841" s="369"/>
      <c r="Z841" s="369"/>
    </row>
    <row r="842" spans="1:26" ht="14.25" customHeight="1">
      <c r="A842" s="369"/>
      <c r="B842" s="369"/>
      <c r="C842" s="369"/>
      <c r="D842" s="369"/>
      <c r="E842" s="369"/>
      <c r="F842" s="369"/>
      <c r="G842" s="369"/>
      <c r="H842" s="370"/>
      <c r="I842" s="371"/>
      <c r="J842" s="371"/>
      <c r="K842" s="370"/>
      <c r="L842" s="369"/>
      <c r="M842" s="369"/>
      <c r="N842" s="369"/>
      <c r="O842" s="369"/>
      <c r="P842" s="369"/>
      <c r="Q842" s="369"/>
      <c r="R842" s="369"/>
      <c r="S842" s="369"/>
      <c r="T842" s="369"/>
      <c r="U842" s="369"/>
      <c r="V842" s="369"/>
      <c r="W842" s="369"/>
      <c r="X842" s="369"/>
      <c r="Y842" s="369"/>
      <c r="Z842" s="369"/>
    </row>
    <row r="843" spans="1:26" ht="14.25" customHeight="1">
      <c r="A843" s="369"/>
      <c r="B843" s="369"/>
      <c r="C843" s="369"/>
      <c r="D843" s="369"/>
      <c r="E843" s="369"/>
      <c r="F843" s="369"/>
      <c r="G843" s="369"/>
      <c r="H843" s="370"/>
      <c r="I843" s="371"/>
      <c r="J843" s="371"/>
      <c r="K843" s="370"/>
      <c r="L843" s="369"/>
      <c r="M843" s="369"/>
      <c r="N843" s="369"/>
      <c r="O843" s="369"/>
      <c r="P843" s="369"/>
      <c r="Q843" s="369"/>
      <c r="R843" s="369"/>
      <c r="S843" s="369"/>
      <c r="T843" s="369"/>
      <c r="U843" s="369"/>
      <c r="V843" s="369"/>
      <c r="W843" s="369"/>
      <c r="X843" s="369"/>
      <c r="Y843" s="369"/>
      <c r="Z843" s="369"/>
    </row>
    <row r="844" spans="1:26" ht="14.25" customHeight="1">
      <c r="A844" s="369"/>
      <c r="B844" s="369"/>
      <c r="C844" s="369"/>
      <c r="D844" s="369"/>
      <c r="E844" s="369"/>
      <c r="F844" s="369"/>
      <c r="G844" s="369"/>
      <c r="H844" s="370"/>
      <c r="I844" s="371"/>
      <c r="J844" s="371"/>
      <c r="K844" s="370"/>
      <c r="L844" s="369"/>
      <c r="M844" s="369"/>
      <c r="N844" s="369"/>
      <c r="O844" s="369"/>
      <c r="P844" s="369"/>
      <c r="Q844" s="369"/>
      <c r="R844" s="369"/>
      <c r="S844" s="369"/>
      <c r="T844" s="369"/>
      <c r="U844" s="369"/>
      <c r="V844" s="369"/>
      <c r="W844" s="369"/>
      <c r="X844" s="369"/>
      <c r="Y844" s="369"/>
      <c r="Z844" s="369"/>
    </row>
    <row r="845" spans="1:26" ht="14.25" customHeight="1">
      <c r="A845" s="369"/>
      <c r="B845" s="369"/>
      <c r="C845" s="369"/>
      <c r="D845" s="369"/>
      <c r="E845" s="369"/>
      <c r="F845" s="369"/>
      <c r="G845" s="369"/>
      <c r="H845" s="370"/>
      <c r="I845" s="371"/>
      <c r="J845" s="371"/>
      <c r="K845" s="370"/>
      <c r="L845" s="369"/>
      <c r="M845" s="369"/>
      <c r="N845" s="369"/>
      <c r="O845" s="369"/>
      <c r="P845" s="369"/>
      <c r="Q845" s="369"/>
      <c r="R845" s="369"/>
      <c r="S845" s="369"/>
      <c r="T845" s="369"/>
      <c r="U845" s="369"/>
      <c r="V845" s="369"/>
      <c r="W845" s="369"/>
      <c r="X845" s="369"/>
      <c r="Y845" s="369"/>
      <c r="Z845" s="369"/>
    </row>
    <row r="846" spans="1:26" ht="14.25" customHeight="1">
      <c r="A846" s="369"/>
      <c r="B846" s="369"/>
      <c r="C846" s="369"/>
      <c r="D846" s="369"/>
      <c r="E846" s="369"/>
      <c r="F846" s="369"/>
      <c r="G846" s="369"/>
      <c r="H846" s="370"/>
      <c r="I846" s="371"/>
      <c r="J846" s="371"/>
      <c r="K846" s="370"/>
      <c r="L846" s="369"/>
      <c r="M846" s="369"/>
      <c r="N846" s="369"/>
      <c r="O846" s="369"/>
      <c r="P846" s="369"/>
      <c r="Q846" s="369"/>
      <c r="R846" s="369"/>
      <c r="S846" s="369"/>
      <c r="T846" s="369"/>
      <c r="U846" s="369"/>
      <c r="V846" s="369"/>
      <c r="W846" s="369"/>
      <c r="X846" s="369"/>
      <c r="Y846" s="369"/>
      <c r="Z846" s="369"/>
    </row>
    <row r="847" spans="1:26" ht="14.25" customHeight="1">
      <c r="A847" s="369"/>
      <c r="B847" s="369"/>
      <c r="C847" s="369"/>
      <c r="D847" s="369"/>
      <c r="E847" s="369"/>
      <c r="F847" s="369"/>
      <c r="G847" s="369"/>
      <c r="H847" s="370"/>
      <c r="I847" s="371"/>
      <c r="J847" s="371"/>
      <c r="K847" s="370"/>
      <c r="L847" s="369"/>
      <c r="M847" s="369"/>
      <c r="N847" s="369"/>
      <c r="O847" s="369"/>
      <c r="P847" s="369"/>
      <c r="Q847" s="369"/>
      <c r="R847" s="369"/>
      <c r="S847" s="369"/>
      <c r="T847" s="369"/>
      <c r="U847" s="369"/>
      <c r="V847" s="369"/>
      <c r="W847" s="369"/>
      <c r="X847" s="369"/>
      <c r="Y847" s="369"/>
      <c r="Z847" s="369"/>
    </row>
    <row r="848" spans="1:26" ht="14.25" customHeight="1">
      <c r="A848" s="369"/>
      <c r="B848" s="369"/>
      <c r="C848" s="369"/>
      <c r="D848" s="369"/>
      <c r="E848" s="369"/>
      <c r="F848" s="369"/>
      <c r="G848" s="369"/>
      <c r="H848" s="370"/>
      <c r="I848" s="371"/>
      <c r="J848" s="371"/>
      <c r="K848" s="370"/>
      <c r="L848" s="369"/>
      <c r="M848" s="369"/>
      <c r="N848" s="369"/>
      <c r="O848" s="369"/>
      <c r="P848" s="369"/>
      <c r="Q848" s="369"/>
      <c r="R848" s="369"/>
      <c r="S848" s="369"/>
      <c r="T848" s="369"/>
      <c r="U848" s="369"/>
      <c r="V848" s="369"/>
      <c r="W848" s="369"/>
      <c r="X848" s="369"/>
      <c r="Y848" s="369"/>
      <c r="Z848" s="369"/>
    </row>
    <row r="849" spans="1:26" ht="14.25" customHeight="1">
      <c r="A849" s="369"/>
      <c r="B849" s="369"/>
      <c r="C849" s="369"/>
      <c r="D849" s="369"/>
      <c r="E849" s="369"/>
      <c r="F849" s="369"/>
      <c r="G849" s="369"/>
      <c r="H849" s="370"/>
      <c r="I849" s="371"/>
      <c r="J849" s="371"/>
      <c r="K849" s="370"/>
      <c r="L849" s="369"/>
      <c r="M849" s="369"/>
      <c r="N849" s="369"/>
      <c r="O849" s="369"/>
      <c r="P849" s="369"/>
      <c r="Q849" s="369"/>
      <c r="R849" s="369"/>
      <c r="S849" s="369"/>
      <c r="T849" s="369"/>
      <c r="U849" s="369"/>
      <c r="V849" s="369"/>
      <c r="W849" s="369"/>
      <c r="X849" s="369"/>
      <c r="Y849" s="369"/>
      <c r="Z849" s="369"/>
    </row>
    <row r="850" spans="1:26" ht="14.25" customHeight="1">
      <c r="A850" s="369"/>
      <c r="B850" s="369"/>
      <c r="C850" s="369"/>
      <c r="D850" s="369"/>
      <c r="E850" s="369"/>
      <c r="F850" s="369"/>
      <c r="G850" s="369"/>
      <c r="H850" s="370"/>
      <c r="I850" s="371"/>
      <c r="J850" s="371"/>
      <c r="K850" s="370"/>
      <c r="L850" s="369"/>
      <c r="M850" s="369"/>
      <c r="N850" s="369"/>
      <c r="O850" s="369"/>
      <c r="P850" s="369"/>
      <c r="Q850" s="369"/>
      <c r="R850" s="369"/>
      <c r="S850" s="369"/>
      <c r="T850" s="369"/>
      <c r="U850" s="369"/>
      <c r="V850" s="369"/>
      <c r="W850" s="369"/>
      <c r="X850" s="369"/>
      <c r="Y850" s="369"/>
      <c r="Z850" s="369"/>
    </row>
    <row r="851" spans="1:26" ht="14.25" customHeight="1">
      <c r="A851" s="369"/>
      <c r="B851" s="369"/>
      <c r="C851" s="369"/>
      <c r="D851" s="369"/>
      <c r="E851" s="369"/>
      <c r="F851" s="369"/>
      <c r="G851" s="369"/>
      <c r="H851" s="370"/>
      <c r="I851" s="371"/>
      <c r="J851" s="371"/>
      <c r="K851" s="370"/>
      <c r="L851" s="369"/>
      <c r="M851" s="369"/>
      <c r="N851" s="369"/>
      <c r="O851" s="369"/>
      <c r="P851" s="369"/>
      <c r="Q851" s="369"/>
      <c r="R851" s="369"/>
      <c r="S851" s="369"/>
      <c r="T851" s="369"/>
      <c r="U851" s="369"/>
      <c r="V851" s="369"/>
      <c r="W851" s="369"/>
      <c r="X851" s="369"/>
      <c r="Y851" s="369"/>
      <c r="Z851" s="369"/>
    </row>
    <row r="852" spans="1:26" ht="14.25" customHeight="1">
      <c r="A852" s="369"/>
      <c r="B852" s="369"/>
      <c r="C852" s="369"/>
      <c r="D852" s="369"/>
      <c r="E852" s="369"/>
      <c r="F852" s="369"/>
      <c r="G852" s="369"/>
      <c r="H852" s="370"/>
      <c r="I852" s="371"/>
      <c r="J852" s="371"/>
      <c r="K852" s="370"/>
      <c r="L852" s="369"/>
      <c r="M852" s="369"/>
      <c r="N852" s="369"/>
      <c r="O852" s="369"/>
      <c r="P852" s="369"/>
      <c r="Q852" s="369"/>
      <c r="R852" s="369"/>
      <c r="S852" s="369"/>
      <c r="T852" s="369"/>
      <c r="U852" s="369"/>
      <c r="V852" s="369"/>
      <c r="W852" s="369"/>
      <c r="X852" s="369"/>
      <c r="Y852" s="369"/>
      <c r="Z852" s="369"/>
    </row>
    <row r="853" spans="1:26" ht="14.25" customHeight="1">
      <c r="A853" s="369"/>
      <c r="B853" s="369"/>
      <c r="C853" s="369"/>
      <c r="D853" s="369"/>
      <c r="E853" s="369"/>
      <c r="F853" s="369"/>
      <c r="G853" s="369"/>
      <c r="H853" s="370"/>
      <c r="I853" s="371"/>
      <c r="J853" s="371"/>
      <c r="K853" s="370"/>
      <c r="L853" s="369"/>
      <c r="M853" s="369"/>
      <c r="N853" s="369"/>
      <c r="O853" s="369"/>
      <c r="P853" s="369"/>
      <c r="Q853" s="369"/>
      <c r="R853" s="369"/>
      <c r="S853" s="369"/>
      <c r="T853" s="369"/>
      <c r="U853" s="369"/>
      <c r="V853" s="369"/>
      <c r="W853" s="369"/>
      <c r="X853" s="369"/>
      <c r="Y853" s="369"/>
      <c r="Z853" s="369"/>
    </row>
    <row r="854" spans="1:26" ht="14.25" customHeight="1">
      <c r="A854" s="369"/>
      <c r="B854" s="369"/>
      <c r="C854" s="369"/>
      <c r="D854" s="369"/>
      <c r="E854" s="369"/>
      <c r="F854" s="369"/>
      <c r="G854" s="369"/>
      <c r="H854" s="370"/>
      <c r="I854" s="371"/>
      <c r="J854" s="371"/>
      <c r="K854" s="370"/>
      <c r="L854" s="369"/>
      <c r="M854" s="369"/>
      <c r="N854" s="369"/>
      <c r="O854" s="369"/>
      <c r="P854" s="369"/>
      <c r="Q854" s="369"/>
      <c r="R854" s="369"/>
      <c r="S854" s="369"/>
      <c r="T854" s="369"/>
      <c r="U854" s="369"/>
      <c r="V854" s="369"/>
      <c r="W854" s="369"/>
      <c r="X854" s="369"/>
      <c r="Y854" s="369"/>
      <c r="Z854" s="369"/>
    </row>
    <row r="855" spans="1:26" ht="14.25" customHeight="1">
      <c r="A855" s="369"/>
      <c r="B855" s="369"/>
      <c r="C855" s="369"/>
      <c r="D855" s="369"/>
      <c r="E855" s="369"/>
      <c r="F855" s="369"/>
      <c r="G855" s="369"/>
      <c r="H855" s="370"/>
      <c r="I855" s="371"/>
      <c r="J855" s="371"/>
      <c r="K855" s="370"/>
      <c r="L855" s="369"/>
      <c r="M855" s="369"/>
      <c r="N855" s="369"/>
      <c r="O855" s="369"/>
      <c r="P855" s="369"/>
      <c r="Q855" s="369"/>
      <c r="R855" s="369"/>
      <c r="S855" s="369"/>
      <c r="T855" s="369"/>
      <c r="U855" s="369"/>
      <c r="V855" s="369"/>
      <c r="W855" s="369"/>
      <c r="X855" s="369"/>
      <c r="Y855" s="369"/>
      <c r="Z855" s="369"/>
    </row>
    <row r="856" spans="1:26" ht="14.25" customHeight="1">
      <c r="A856" s="369"/>
      <c r="B856" s="369"/>
      <c r="C856" s="369"/>
      <c r="D856" s="369"/>
      <c r="E856" s="369"/>
      <c r="F856" s="369"/>
      <c r="G856" s="369"/>
      <c r="H856" s="370"/>
      <c r="I856" s="371"/>
      <c r="J856" s="371"/>
      <c r="K856" s="370"/>
      <c r="L856" s="369"/>
      <c r="M856" s="369"/>
      <c r="N856" s="369"/>
      <c r="O856" s="369"/>
      <c r="P856" s="369"/>
      <c r="Q856" s="369"/>
      <c r="R856" s="369"/>
      <c r="S856" s="369"/>
      <c r="T856" s="369"/>
      <c r="U856" s="369"/>
      <c r="V856" s="369"/>
      <c r="W856" s="369"/>
      <c r="X856" s="369"/>
      <c r="Y856" s="369"/>
      <c r="Z856" s="369"/>
    </row>
    <row r="857" spans="1:26" ht="14.25" customHeight="1">
      <c r="A857" s="369"/>
      <c r="B857" s="369"/>
      <c r="C857" s="369"/>
      <c r="D857" s="369"/>
      <c r="E857" s="369"/>
      <c r="F857" s="369"/>
      <c r="G857" s="369"/>
      <c r="H857" s="370"/>
      <c r="I857" s="371"/>
      <c r="J857" s="371"/>
      <c r="K857" s="370"/>
      <c r="L857" s="369"/>
      <c r="M857" s="369"/>
      <c r="N857" s="369"/>
      <c r="O857" s="369"/>
      <c r="P857" s="369"/>
      <c r="Q857" s="369"/>
      <c r="R857" s="369"/>
      <c r="S857" s="369"/>
      <c r="T857" s="369"/>
      <c r="U857" s="369"/>
      <c r="V857" s="369"/>
      <c r="W857" s="369"/>
      <c r="X857" s="369"/>
      <c r="Y857" s="369"/>
      <c r="Z857" s="369"/>
    </row>
    <row r="858" spans="1:26" ht="14.25" customHeight="1">
      <c r="A858" s="369"/>
      <c r="B858" s="369"/>
      <c r="C858" s="369"/>
      <c r="D858" s="369"/>
      <c r="E858" s="369"/>
      <c r="F858" s="369"/>
      <c r="G858" s="369"/>
      <c r="H858" s="370"/>
      <c r="I858" s="371"/>
      <c r="J858" s="371"/>
      <c r="K858" s="370"/>
      <c r="L858" s="369"/>
      <c r="M858" s="369"/>
      <c r="N858" s="369"/>
      <c r="O858" s="369"/>
      <c r="P858" s="369"/>
      <c r="Q858" s="369"/>
      <c r="R858" s="369"/>
      <c r="S858" s="369"/>
      <c r="T858" s="369"/>
      <c r="U858" s="369"/>
      <c r="V858" s="369"/>
      <c r="W858" s="369"/>
      <c r="X858" s="369"/>
      <c r="Y858" s="369"/>
      <c r="Z858" s="369"/>
    </row>
    <row r="859" spans="1:26" ht="14.25" customHeight="1">
      <c r="A859" s="369"/>
      <c r="B859" s="369"/>
      <c r="C859" s="369"/>
      <c r="D859" s="369"/>
      <c r="E859" s="369"/>
      <c r="F859" s="369"/>
      <c r="G859" s="369"/>
      <c r="H859" s="370"/>
      <c r="I859" s="371"/>
      <c r="J859" s="371"/>
      <c r="K859" s="370"/>
      <c r="L859" s="369"/>
      <c r="M859" s="369"/>
      <c r="N859" s="369"/>
      <c r="O859" s="369"/>
      <c r="P859" s="369"/>
      <c r="Q859" s="369"/>
      <c r="R859" s="369"/>
      <c r="S859" s="369"/>
      <c r="T859" s="369"/>
      <c r="U859" s="369"/>
      <c r="V859" s="369"/>
      <c r="W859" s="369"/>
      <c r="X859" s="369"/>
      <c r="Y859" s="369"/>
      <c r="Z859" s="369"/>
    </row>
    <row r="860" spans="1:26" ht="14.25" customHeight="1">
      <c r="A860" s="369"/>
      <c r="B860" s="369"/>
      <c r="C860" s="369"/>
      <c r="D860" s="369"/>
      <c r="E860" s="369"/>
      <c r="F860" s="369"/>
      <c r="G860" s="369"/>
      <c r="H860" s="370"/>
      <c r="I860" s="371"/>
      <c r="J860" s="371"/>
      <c r="K860" s="370"/>
      <c r="L860" s="369"/>
      <c r="M860" s="369"/>
      <c r="N860" s="369"/>
      <c r="O860" s="369"/>
      <c r="P860" s="369"/>
      <c r="Q860" s="369"/>
      <c r="R860" s="369"/>
      <c r="S860" s="369"/>
      <c r="T860" s="369"/>
      <c r="U860" s="369"/>
      <c r="V860" s="369"/>
      <c r="W860" s="369"/>
      <c r="X860" s="369"/>
      <c r="Y860" s="369"/>
      <c r="Z860" s="369"/>
    </row>
    <row r="861" spans="1:26" ht="14.25" customHeight="1">
      <c r="A861" s="369"/>
      <c r="B861" s="369"/>
      <c r="C861" s="369"/>
      <c r="D861" s="369"/>
      <c r="E861" s="369"/>
      <c r="F861" s="369"/>
      <c r="G861" s="369"/>
      <c r="H861" s="370"/>
      <c r="I861" s="371"/>
      <c r="J861" s="371"/>
      <c r="K861" s="370"/>
      <c r="L861" s="369"/>
      <c r="M861" s="369"/>
      <c r="N861" s="369"/>
      <c r="O861" s="369"/>
      <c r="P861" s="369"/>
      <c r="Q861" s="369"/>
      <c r="R861" s="369"/>
      <c r="S861" s="369"/>
      <c r="T861" s="369"/>
      <c r="U861" s="369"/>
      <c r="V861" s="369"/>
      <c r="W861" s="369"/>
      <c r="X861" s="369"/>
      <c r="Y861" s="369"/>
      <c r="Z861" s="369"/>
    </row>
    <row r="862" spans="1:26" ht="14.25" customHeight="1">
      <c r="A862" s="369"/>
      <c r="B862" s="369"/>
      <c r="C862" s="369"/>
      <c r="D862" s="369"/>
      <c r="E862" s="369"/>
      <c r="F862" s="369"/>
      <c r="G862" s="369"/>
      <c r="H862" s="370"/>
      <c r="I862" s="371"/>
      <c r="J862" s="371"/>
      <c r="K862" s="370"/>
      <c r="L862" s="369"/>
      <c r="M862" s="369"/>
      <c r="N862" s="369"/>
      <c r="O862" s="369"/>
      <c r="P862" s="369"/>
      <c r="Q862" s="369"/>
      <c r="R862" s="369"/>
      <c r="S862" s="369"/>
      <c r="T862" s="369"/>
      <c r="U862" s="369"/>
      <c r="V862" s="369"/>
      <c r="W862" s="369"/>
      <c r="X862" s="369"/>
      <c r="Y862" s="369"/>
      <c r="Z862" s="369"/>
    </row>
    <row r="863" spans="1:26" ht="14.25" customHeight="1">
      <c r="A863" s="369"/>
      <c r="B863" s="369"/>
      <c r="C863" s="369"/>
      <c r="D863" s="369"/>
      <c r="E863" s="369"/>
      <c r="F863" s="369"/>
      <c r="G863" s="369"/>
      <c r="H863" s="370"/>
      <c r="I863" s="371"/>
      <c r="J863" s="371"/>
      <c r="K863" s="370"/>
      <c r="L863" s="369"/>
      <c r="M863" s="369"/>
      <c r="N863" s="369"/>
      <c r="O863" s="369"/>
      <c r="P863" s="369"/>
      <c r="Q863" s="369"/>
      <c r="R863" s="369"/>
      <c r="S863" s="369"/>
      <c r="T863" s="369"/>
      <c r="U863" s="369"/>
      <c r="V863" s="369"/>
      <c r="W863" s="369"/>
      <c r="X863" s="369"/>
      <c r="Y863" s="369"/>
      <c r="Z863" s="369"/>
    </row>
    <row r="864" spans="1:26" ht="14.25" customHeight="1">
      <c r="A864" s="369"/>
      <c r="B864" s="369"/>
      <c r="C864" s="369"/>
      <c r="D864" s="369"/>
      <c r="E864" s="369"/>
      <c r="F864" s="369"/>
      <c r="G864" s="369"/>
      <c r="H864" s="370"/>
      <c r="I864" s="371"/>
      <c r="J864" s="371"/>
      <c r="K864" s="370"/>
      <c r="L864" s="369"/>
      <c r="M864" s="369"/>
      <c r="N864" s="369"/>
      <c r="O864" s="369"/>
      <c r="P864" s="369"/>
      <c r="Q864" s="369"/>
      <c r="R864" s="369"/>
      <c r="S864" s="369"/>
      <c r="T864" s="369"/>
      <c r="U864" s="369"/>
      <c r="V864" s="369"/>
      <c r="W864" s="369"/>
      <c r="X864" s="369"/>
      <c r="Y864" s="369"/>
      <c r="Z864" s="369"/>
    </row>
    <row r="865" spans="1:26" ht="14.25" customHeight="1">
      <c r="A865" s="369"/>
      <c r="B865" s="369"/>
      <c r="C865" s="369"/>
      <c r="D865" s="369"/>
      <c r="E865" s="369"/>
      <c r="F865" s="369"/>
      <c r="G865" s="369"/>
      <c r="H865" s="370"/>
      <c r="I865" s="371"/>
      <c r="J865" s="371"/>
      <c r="K865" s="370"/>
      <c r="L865" s="369"/>
      <c r="M865" s="369"/>
      <c r="N865" s="369"/>
      <c r="O865" s="369"/>
      <c r="P865" s="369"/>
      <c r="Q865" s="369"/>
      <c r="R865" s="369"/>
      <c r="S865" s="369"/>
      <c r="T865" s="369"/>
      <c r="U865" s="369"/>
      <c r="V865" s="369"/>
      <c r="W865" s="369"/>
      <c r="X865" s="369"/>
      <c r="Y865" s="369"/>
      <c r="Z865" s="369"/>
    </row>
    <row r="866" spans="1:26" ht="14.25" customHeight="1">
      <c r="A866" s="369"/>
      <c r="B866" s="369"/>
      <c r="C866" s="369"/>
      <c r="D866" s="369"/>
      <c r="E866" s="369"/>
      <c r="F866" s="369"/>
      <c r="G866" s="369"/>
      <c r="H866" s="370"/>
      <c r="I866" s="371"/>
      <c r="J866" s="371"/>
      <c r="K866" s="370"/>
      <c r="L866" s="369"/>
      <c r="M866" s="369"/>
      <c r="N866" s="369"/>
      <c r="O866" s="369"/>
      <c r="P866" s="369"/>
      <c r="Q866" s="369"/>
      <c r="R866" s="369"/>
      <c r="S866" s="369"/>
      <c r="T866" s="369"/>
      <c r="U866" s="369"/>
      <c r="V866" s="369"/>
      <c r="W866" s="369"/>
      <c r="X866" s="369"/>
      <c r="Y866" s="369"/>
      <c r="Z866" s="369"/>
    </row>
    <row r="867" spans="1:26" ht="14.25" customHeight="1">
      <c r="A867" s="369"/>
      <c r="B867" s="369"/>
      <c r="C867" s="369"/>
      <c r="D867" s="369"/>
      <c r="E867" s="369"/>
      <c r="F867" s="369"/>
      <c r="G867" s="369"/>
      <c r="H867" s="370"/>
      <c r="I867" s="371"/>
      <c r="J867" s="371"/>
      <c r="K867" s="370"/>
      <c r="L867" s="369"/>
      <c r="M867" s="369"/>
      <c r="N867" s="369"/>
      <c r="O867" s="369"/>
      <c r="P867" s="369"/>
      <c r="Q867" s="369"/>
      <c r="R867" s="369"/>
      <c r="S867" s="369"/>
      <c r="T867" s="369"/>
      <c r="U867" s="369"/>
      <c r="V867" s="369"/>
      <c r="W867" s="369"/>
      <c r="X867" s="369"/>
      <c r="Y867" s="369"/>
      <c r="Z867" s="369"/>
    </row>
    <row r="868" spans="1:26" ht="14.25" customHeight="1">
      <c r="A868" s="369"/>
      <c r="B868" s="369"/>
      <c r="C868" s="369"/>
      <c r="D868" s="369"/>
      <c r="E868" s="369"/>
      <c r="F868" s="369"/>
      <c r="G868" s="369"/>
      <c r="H868" s="370"/>
      <c r="I868" s="371"/>
      <c r="J868" s="371"/>
      <c r="K868" s="370"/>
      <c r="L868" s="369"/>
      <c r="M868" s="369"/>
      <c r="N868" s="369"/>
      <c r="O868" s="369"/>
      <c r="P868" s="369"/>
      <c r="Q868" s="369"/>
      <c r="R868" s="369"/>
      <c r="S868" s="369"/>
      <c r="T868" s="369"/>
      <c r="U868" s="369"/>
      <c r="V868" s="369"/>
      <c r="W868" s="369"/>
      <c r="X868" s="369"/>
      <c r="Y868" s="369"/>
      <c r="Z868" s="369"/>
    </row>
    <row r="869" spans="1:26" ht="14.25" customHeight="1">
      <c r="A869" s="369"/>
      <c r="B869" s="369"/>
      <c r="C869" s="369"/>
      <c r="D869" s="369"/>
      <c r="E869" s="369"/>
      <c r="F869" s="369"/>
      <c r="G869" s="369"/>
      <c r="H869" s="370"/>
      <c r="I869" s="371"/>
      <c r="J869" s="371"/>
      <c r="K869" s="370"/>
      <c r="L869" s="369"/>
      <c r="M869" s="369"/>
      <c r="N869" s="369"/>
      <c r="O869" s="369"/>
      <c r="P869" s="369"/>
      <c r="Q869" s="369"/>
      <c r="R869" s="369"/>
      <c r="S869" s="369"/>
      <c r="T869" s="369"/>
      <c r="U869" s="369"/>
      <c r="V869" s="369"/>
      <c r="W869" s="369"/>
      <c r="X869" s="369"/>
      <c r="Y869" s="369"/>
      <c r="Z869" s="369"/>
    </row>
    <row r="870" spans="1:26" ht="14.25" customHeight="1">
      <c r="A870" s="369"/>
      <c r="B870" s="369"/>
      <c r="C870" s="369"/>
      <c r="D870" s="369"/>
      <c r="E870" s="369"/>
      <c r="F870" s="369"/>
      <c r="G870" s="369"/>
      <c r="H870" s="370"/>
      <c r="I870" s="371"/>
      <c r="J870" s="371"/>
      <c r="K870" s="370"/>
      <c r="L870" s="369"/>
      <c r="M870" s="369"/>
      <c r="N870" s="369"/>
      <c r="O870" s="369"/>
      <c r="P870" s="369"/>
      <c r="Q870" s="369"/>
      <c r="R870" s="369"/>
      <c r="S870" s="369"/>
      <c r="T870" s="369"/>
      <c r="U870" s="369"/>
      <c r="V870" s="369"/>
      <c r="W870" s="369"/>
      <c r="X870" s="369"/>
      <c r="Y870" s="369"/>
      <c r="Z870" s="369"/>
    </row>
    <row r="871" spans="1:26" ht="14.25" customHeight="1">
      <c r="A871" s="369"/>
      <c r="B871" s="369"/>
      <c r="C871" s="369"/>
      <c r="D871" s="369"/>
      <c r="E871" s="369"/>
      <c r="F871" s="369"/>
      <c r="G871" s="369"/>
      <c r="H871" s="370"/>
      <c r="I871" s="371"/>
      <c r="J871" s="371"/>
      <c r="K871" s="370"/>
      <c r="L871" s="369"/>
      <c r="M871" s="369"/>
      <c r="N871" s="369"/>
      <c r="O871" s="369"/>
      <c r="P871" s="369"/>
      <c r="Q871" s="369"/>
      <c r="R871" s="369"/>
      <c r="S871" s="369"/>
      <c r="T871" s="369"/>
      <c r="U871" s="369"/>
      <c r="V871" s="369"/>
      <c r="W871" s="369"/>
      <c r="X871" s="369"/>
      <c r="Y871" s="369"/>
      <c r="Z871" s="369"/>
    </row>
    <row r="872" spans="1:26" ht="14.25" customHeight="1">
      <c r="A872" s="369"/>
      <c r="B872" s="369"/>
      <c r="C872" s="369"/>
      <c r="D872" s="369"/>
      <c r="E872" s="369"/>
      <c r="F872" s="369"/>
      <c r="G872" s="369"/>
      <c r="H872" s="370"/>
      <c r="I872" s="371"/>
      <c r="J872" s="371"/>
      <c r="K872" s="370"/>
      <c r="L872" s="369"/>
      <c r="M872" s="369"/>
      <c r="N872" s="369"/>
      <c r="O872" s="369"/>
      <c r="P872" s="369"/>
      <c r="Q872" s="369"/>
      <c r="R872" s="369"/>
      <c r="S872" s="369"/>
      <c r="T872" s="369"/>
      <c r="U872" s="369"/>
      <c r="V872" s="369"/>
      <c r="W872" s="369"/>
      <c r="X872" s="369"/>
      <c r="Y872" s="369"/>
      <c r="Z872" s="369"/>
    </row>
    <row r="873" spans="1:26" ht="14.25" customHeight="1">
      <c r="A873" s="369"/>
      <c r="B873" s="369"/>
      <c r="C873" s="369"/>
      <c r="D873" s="369"/>
      <c r="E873" s="369"/>
      <c r="F873" s="369"/>
      <c r="G873" s="369"/>
      <c r="H873" s="370"/>
      <c r="I873" s="371"/>
      <c r="J873" s="371"/>
      <c r="K873" s="370"/>
      <c r="L873" s="369"/>
      <c r="M873" s="369"/>
      <c r="N873" s="369"/>
      <c r="O873" s="369"/>
      <c r="P873" s="369"/>
      <c r="Q873" s="369"/>
      <c r="R873" s="369"/>
      <c r="S873" s="369"/>
      <c r="T873" s="369"/>
      <c r="U873" s="369"/>
      <c r="V873" s="369"/>
      <c r="W873" s="369"/>
      <c r="X873" s="369"/>
      <c r="Y873" s="369"/>
      <c r="Z873" s="369"/>
    </row>
    <row r="874" spans="1:26" ht="14.25" customHeight="1">
      <c r="A874" s="369"/>
      <c r="B874" s="369"/>
      <c r="C874" s="369"/>
      <c r="D874" s="369"/>
      <c r="E874" s="369"/>
      <c r="F874" s="369"/>
      <c r="G874" s="369"/>
      <c r="H874" s="370"/>
      <c r="I874" s="371"/>
      <c r="J874" s="371"/>
      <c r="K874" s="370"/>
      <c r="L874" s="369"/>
      <c r="M874" s="369"/>
      <c r="N874" s="369"/>
      <c r="O874" s="369"/>
      <c r="P874" s="369"/>
      <c r="Q874" s="369"/>
      <c r="R874" s="369"/>
      <c r="S874" s="369"/>
      <c r="T874" s="369"/>
      <c r="U874" s="369"/>
      <c r="V874" s="369"/>
      <c r="W874" s="369"/>
      <c r="X874" s="369"/>
      <c r="Y874" s="369"/>
      <c r="Z874" s="369"/>
    </row>
    <row r="875" spans="1:26" ht="14.25" customHeight="1">
      <c r="A875" s="369"/>
      <c r="B875" s="369"/>
      <c r="C875" s="369"/>
      <c r="D875" s="369"/>
      <c r="E875" s="369"/>
      <c r="F875" s="369"/>
      <c r="G875" s="369"/>
      <c r="H875" s="370"/>
      <c r="I875" s="371"/>
      <c r="J875" s="371"/>
      <c r="K875" s="370"/>
      <c r="L875" s="369"/>
      <c r="M875" s="369"/>
      <c r="N875" s="369"/>
      <c r="O875" s="369"/>
      <c r="P875" s="369"/>
      <c r="Q875" s="369"/>
      <c r="R875" s="369"/>
      <c r="S875" s="369"/>
      <c r="T875" s="369"/>
      <c r="U875" s="369"/>
      <c r="V875" s="369"/>
      <c r="W875" s="369"/>
      <c r="X875" s="369"/>
      <c r="Y875" s="369"/>
      <c r="Z875" s="369"/>
    </row>
    <row r="876" spans="1:26" ht="14.25" customHeight="1">
      <c r="A876" s="369"/>
      <c r="B876" s="369"/>
      <c r="C876" s="369"/>
      <c r="D876" s="369"/>
      <c r="E876" s="369"/>
      <c r="F876" s="369"/>
      <c r="G876" s="369"/>
      <c r="H876" s="370"/>
      <c r="I876" s="371"/>
      <c r="J876" s="371"/>
      <c r="K876" s="370"/>
      <c r="L876" s="369"/>
      <c r="M876" s="369"/>
      <c r="N876" s="369"/>
      <c r="O876" s="369"/>
      <c r="P876" s="369"/>
      <c r="Q876" s="369"/>
      <c r="R876" s="369"/>
      <c r="S876" s="369"/>
      <c r="T876" s="369"/>
      <c r="U876" s="369"/>
      <c r="V876" s="369"/>
      <c r="W876" s="369"/>
      <c r="X876" s="369"/>
      <c r="Y876" s="369"/>
      <c r="Z876" s="369"/>
    </row>
    <row r="877" spans="1:26" ht="14.25" customHeight="1">
      <c r="A877" s="369"/>
      <c r="B877" s="369"/>
      <c r="C877" s="369"/>
      <c r="D877" s="369"/>
      <c r="E877" s="369"/>
      <c r="F877" s="369"/>
      <c r="G877" s="369"/>
      <c r="H877" s="370"/>
      <c r="I877" s="371"/>
      <c r="J877" s="371"/>
      <c r="K877" s="370"/>
      <c r="L877" s="369"/>
      <c r="M877" s="369"/>
      <c r="N877" s="369"/>
      <c r="O877" s="369"/>
      <c r="P877" s="369"/>
      <c r="Q877" s="369"/>
      <c r="R877" s="369"/>
      <c r="S877" s="369"/>
      <c r="T877" s="369"/>
      <c r="U877" s="369"/>
      <c r="V877" s="369"/>
      <c r="W877" s="369"/>
      <c r="X877" s="369"/>
      <c r="Y877" s="369"/>
      <c r="Z877" s="369"/>
    </row>
    <row r="878" spans="1:26" ht="14.25" customHeight="1">
      <c r="A878" s="369"/>
      <c r="B878" s="369"/>
      <c r="C878" s="369"/>
      <c r="D878" s="369"/>
      <c r="E878" s="369"/>
      <c r="F878" s="369"/>
      <c r="G878" s="369"/>
      <c r="H878" s="370"/>
      <c r="I878" s="371"/>
      <c r="J878" s="371"/>
      <c r="K878" s="370"/>
      <c r="L878" s="369"/>
      <c r="M878" s="369"/>
      <c r="N878" s="369"/>
      <c r="O878" s="369"/>
      <c r="P878" s="369"/>
      <c r="Q878" s="369"/>
      <c r="R878" s="369"/>
      <c r="S878" s="369"/>
      <c r="T878" s="369"/>
      <c r="U878" s="369"/>
      <c r="V878" s="369"/>
      <c r="W878" s="369"/>
      <c r="X878" s="369"/>
      <c r="Y878" s="369"/>
      <c r="Z878" s="369"/>
    </row>
    <row r="879" spans="1:26" ht="14.25" customHeight="1">
      <c r="A879" s="369"/>
      <c r="B879" s="369"/>
      <c r="C879" s="369"/>
      <c r="D879" s="369"/>
      <c r="E879" s="369"/>
      <c r="F879" s="369"/>
      <c r="G879" s="369"/>
      <c r="H879" s="370"/>
      <c r="I879" s="371"/>
      <c r="J879" s="371"/>
      <c r="K879" s="370"/>
      <c r="L879" s="369"/>
      <c r="M879" s="369"/>
      <c r="N879" s="369"/>
      <c r="O879" s="369"/>
      <c r="P879" s="369"/>
      <c r="Q879" s="369"/>
      <c r="R879" s="369"/>
      <c r="S879" s="369"/>
      <c r="T879" s="369"/>
      <c r="U879" s="369"/>
      <c r="V879" s="369"/>
      <c r="W879" s="369"/>
      <c r="X879" s="369"/>
      <c r="Y879" s="369"/>
      <c r="Z879" s="369"/>
    </row>
    <row r="880" spans="1:26" ht="14.25" customHeight="1">
      <c r="A880" s="369"/>
      <c r="B880" s="369"/>
      <c r="C880" s="369"/>
      <c r="D880" s="369"/>
      <c r="E880" s="369"/>
      <c r="F880" s="369"/>
      <c r="G880" s="369"/>
      <c r="H880" s="370"/>
      <c r="I880" s="371"/>
      <c r="J880" s="371"/>
      <c r="K880" s="370"/>
      <c r="L880" s="369"/>
      <c r="M880" s="369"/>
      <c r="N880" s="369"/>
      <c r="O880" s="369"/>
      <c r="P880" s="369"/>
      <c r="Q880" s="369"/>
      <c r="R880" s="369"/>
      <c r="S880" s="369"/>
      <c r="T880" s="369"/>
      <c r="U880" s="369"/>
      <c r="V880" s="369"/>
      <c r="W880" s="369"/>
      <c r="X880" s="369"/>
      <c r="Y880" s="369"/>
      <c r="Z880" s="369"/>
    </row>
    <row r="881" spans="1:26" ht="14.25" customHeight="1">
      <c r="A881" s="369"/>
      <c r="B881" s="369"/>
      <c r="C881" s="369"/>
      <c r="D881" s="369"/>
      <c r="E881" s="369"/>
      <c r="F881" s="369"/>
      <c r="G881" s="369"/>
      <c r="H881" s="370"/>
      <c r="I881" s="371"/>
      <c r="J881" s="371"/>
      <c r="K881" s="370"/>
      <c r="L881" s="369"/>
      <c r="M881" s="369"/>
      <c r="N881" s="369"/>
      <c r="O881" s="369"/>
      <c r="P881" s="369"/>
      <c r="Q881" s="369"/>
      <c r="R881" s="369"/>
      <c r="S881" s="369"/>
      <c r="T881" s="369"/>
      <c r="U881" s="369"/>
      <c r="V881" s="369"/>
      <c r="W881" s="369"/>
      <c r="X881" s="369"/>
      <c r="Y881" s="369"/>
      <c r="Z881" s="369"/>
    </row>
    <row r="882" spans="1:26" ht="14.25" customHeight="1">
      <c r="A882" s="369"/>
      <c r="B882" s="369"/>
      <c r="C882" s="369"/>
      <c r="D882" s="369"/>
      <c r="E882" s="369"/>
      <c r="F882" s="369"/>
      <c r="G882" s="369"/>
      <c r="H882" s="370"/>
      <c r="I882" s="371"/>
      <c r="J882" s="371"/>
      <c r="K882" s="370"/>
      <c r="L882" s="369"/>
      <c r="M882" s="369"/>
      <c r="N882" s="369"/>
      <c r="O882" s="369"/>
      <c r="P882" s="369"/>
      <c r="Q882" s="369"/>
      <c r="R882" s="369"/>
      <c r="S882" s="369"/>
      <c r="T882" s="369"/>
      <c r="U882" s="369"/>
      <c r="V882" s="369"/>
      <c r="W882" s="369"/>
      <c r="X882" s="369"/>
      <c r="Y882" s="369"/>
      <c r="Z882" s="369"/>
    </row>
    <row r="883" spans="1:26" ht="14.25" customHeight="1">
      <c r="A883" s="369"/>
      <c r="B883" s="369"/>
      <c r="C883" s="369"/>
      <c r="D883" s="369"/>
      <c r="E883" s="369"/>
      <c r="F883" s="369"/>
      <c r="G883" s="369"/>
      <c r="H883" s="370"/>
      <c r="I883" s="371"/>
      <c r="J883" s="371"/>
      <c r="K883" s="370"/>
      <c r="L883" s="369"/>
      <c r="M883" s="369"/>
      <c r="N883" s="369"/>
      <c r="O883" s="369"/>
      <c r="P883" s="369"/>
      <c r="Q883" s="369"/>
      <c r="R883" s="369"/>
      <c r="S883" s="369"/>
      <c r="T883" s="369"/>
      <c r="U883" s="369"/>
      <c r="V883" s="369"/>
      <c r="W883" s="369"/>
      <c r="X883" s="369"/>
      <c r="Y883" s="369"/>
      <c r="Z883" s="369"/>
    </row>
    <row r="884" spans="1:26" ht="14.25" customHeight="1">
      <c r="A884" s="369"/>
      <c r="B884" s="369"/>
      <c r="C884" s="369"/>
      <c r="D884" s="369"/>
      <c r="E884" s="369"/>
      <c r="F884" s="369"/>
      <c r="G884" s="369"/>
      <c r="H884" s="370"/>
      <c r="I884" s="371"/>
      <c r="J884" s="371"/>
      <c r="K884" s="370"/>
      <c r="L884" s="369"/>
      <c r="M884" s="369"/>
      <c r="N884" s="369"/>
      <c r="O884" s="369"/>
      <c r="P884" s="369"/>
      <c r="Q884" s="369"/>
      <c r="R884" s="369"/>
      <c r="S884" s="369"/>
      <c r="T884" s="369"/>
      <c r="U884" s="369"/>
      <c r="V884" s="369"/>
      <c r="W884" s="369"/>
      <c r="X884" s="369"/>
      <c r="Y884" s="369"/>
      <c r="Z884" s="369"/>
    </row>
    <row r="885" spans="1:26" ht="14.25" customHeight="1">
      <c r="A885" s="369"/>
      <c r="B885" s="369"/>
      <c r="C885" s="369"/>
      <c r="D885" s="369"/>
      <c r="E885" s="369"/>
      <c r="F885" s="369"/>
      <c r="G885" s="369"/>
      <c r="H885" s="370"/>
      <c r="I885" s="371"/>
      <c r="J885" s="371"/>
      <c r="K885" s="370"/>
      <c r="L885" s="369"/>
      <c r="M885" s="369"/>
      <c r="N885" s="369"/>
      <c r="O885" s="369"/>
      <c r="P885" s="369"/>
      <c r="Q885" s="369"/>
      <c r="R885" s="369"/>
      <c r="S885" s="369"/>
      <c r="T885" s="369"/>
      <c r="U885" s="369"/>
      <c r="V885" s="369"/>
      <c r="W885" s="369"/>
      <c r="X885" s="369"/>
      <c r="Y885" s="369"/>
      <c r="Z885" s="369"/>
    </row>
    <row r="886" spans="1:26" ht="14.25" customHeight="1">
      <c r="A886" s="369"/>
      <c r="B886" s="369"/>
      <c r="C886" s="369"/>
      <c r="D886" s="369"/>
      <c r="E886" s="369"/>
      <c r="F886" s="369"/>
      <c r="G886" s="369"/>
      <c r="H886" s="370"/>
      <c r="I886" s="371"/>
      <c r="J886" s="371"/>
      <c r="K886" s="370"/>
      <c r="L886" s="369"/>
      <c r="M886" s="369"/>
      <c r="N886" s="369"/>
      <c r="O886" s="369"/>
      <c r="P886" s="369"/>
      <c r="Q886" s="369"/>
      <c r="R886" s="369"/>
      <c r="S886" s="369"/>
      <c r="T886" s="369"/>
      <c r="U886" s="369"/>
      <c r="V886" s="369"/>
      <c r="W886" s="369"/>
      <c r="X886" s="369"/>
      <c r="Y886" s="369"/>
      <c r="Z886" s="369"/>
    </row>
    <row r="887" spans="1:26" ht="14.25" customHeight="1">
      <c r="A887" s="369"/>
      <c r="B887" s="369"/>
      <c r="C887" s="369"/>
      <c r="D887" s="369"/>
      <c r="E887" s="369"/>
      <c r="F887" s="369"/>
      <c r="G887" s="369"/>
      <c r="H887" s="370"/>
      <c r="I887" s="371"/>
      <c r="J887" s="371"/>
      <c r="K887" s="370"/>
      <c r="L887" s="369"/>
      <c r="M887" s="369"/>
      <c r="N887" s="369"/>
      <c r="O887" s="369"/>
      <c r="P887" s="369"/>
      <c r="Q887" s="369"/>
      <c r="R887" s="369"/>
      <c r="S887" s="369"/>
      <c r="T887" s="369"/>
      <c r="U887" s="369"/>
      <c r="V887" s="369"/>
      <c r="W887" s="369"/>
      <c r="X887" s="369"/>
      <c r="Y887" s="369"/>
      <c r="Z887" s="369"/>
    </row>
    <row r="888" spans="1:26" ht="14.25" customHeight="1">
      <c r="A888" s="369"/>
      <c r="B888" s="369"/>
      <c r="C888" s="369"/>
      <c r="D888" s="369"/>
      <c r="E888" s="369"/>
      <c r="F888" s="369"/>
      <c r="G888" s="369"/>
      <c r="H888" s="370"/>
      <c r="I888" s="371"/>
      <c r="J888" s="371"/>
      <c r="K888" s="370"/>
      <c r="L888" s="369"/>
      <c r="M888" s="369"/>
      <c r="N888" s="369"/>
      <c r="O888" s="369"/>
      <c r="P888" s="369"/>
      <c r="Q888" s="369"/>
      <c r="R888" s="369"/>
      <c r="S888" s="369"/>
      <c r="T888" s="369"/>
      <c r="U888" s="369"/>
      <c r="V888" s="369"/>
      <c r="W888" s="369"/>
      <c r="X888" s="369"/>
      <c r="Y888" s="369"/>
      <c r="Z888" s="369"/>
    </row>
    <row r="889" spans="1:26" ht="14.25" customHeight="1">
      <c r="A889" s="369"/>
      <c r="B889" s="369"/>
      <c r="C889" s="369"/>
      <c r="D889" s="369"/>
      <c r="E889" s="369"/>
      <c r="F889" s="369"/>
      <c r="G889" s="369"/>
      <c r="H889" s="370"/>
      <c r="I889" s="371"/>
      <c r="J889" s="371"/>
      <c r="K889" s="370"/>
      <c r="L889" s="369"/>
      <c r="M889" s="369"/>
      <c r="N889" s="369"/>
      <c r="O889" s="369"/>
      <c r="P889" s="369"/>
      <c r="Q889" s="369"/>
      <c r="R889" s="369"/>
      <c r="S889" s="369"/>
      <c r="T889" s="369"/>
      <c r="U889" s="369"/>
      <c r="V889" s="369"/>
      <c r="W889" s="369"/>
      <c r="X889" s="369"/>
      <c r="Y889" s="369"/>
      <c r="Z889" s="369"/>
    </row>
    <row r="890" spans="1:26" ht="14.25" customHeight="1">
      <c r="A890" s="369"/>
      <c r="B890" s="369"/>
      <c r="C890" s="369"/>
      <c r="D890" s="369"/>
      <c r="E890" s="369"/>
      <c r="F890" s="369"/>
      <c r="G890" s="369"/>
      <c r="H890" s="370"/>
      <c r="I890" s="371"/>
      <c r="J890" s="371"/>
      <c r="K890" s="370"/>
      <c r="L890" s="369"/>
      <c r="M890" s="369"/>
      <c r="N890" s="369"/>
      <c r="O890" s="369"/>
      <c r="P890" s="369"/>
      <c r="Q890" s="369"/>
      <c r="R890" s="369"/>
      <c r="S890" s="369"/>
      <c r="T890" s="369"/>
      <c r="U890" s="369"/>
      <c r="V890" s="369"/>
      <c r="W890" s="369"/>
      <c r="X890" s="369"/>
      <c r="Y890" s="369"/>
      <c r="Z890" s="369"/>
    </row>
    <row r="891" spans="1:26" ht="14.25" customHeight="1">
      <c r="A891" s="369"/>
      <c r="B891" s="369"/>
      <c r="C891" s="369"/>
      <c r="D891" s="369"/>
      <c r="E891" s="369"/>
      <c r="F891" s="369"/>
      <c r="G891" s="369"/>
      <c r="H891" s="370"/>
      <c r="I891" s="371"/>
      <c r="J891" s="371"/>
      <c r="K891" s="370"/>
      <c r="L891" s="369"/>
      <c r="M891" s="369"/>
      <c r="N891" s="369"/>
      <c r="O891" s="369"/>
      <c r="P891" s="369"/>
      <c r="Q891" s="369"/>
      <c r="R891" s="369"/>
      <c r="S891" s="369"/>
      <c r="T891" s="369"/>
      <c r="U891" s="369"/>
      <c r="V891" s="369"/>
      <c r="W891" s="369"/>
      <c r="X891" s="369"/>
      <c r="Y891" s="369"/>
      <c r="Z891" s="369"/>
    </row>
    <row r="892" spans="1:26" ht="14.25" customHeight="1">
      <c r="A892" s="369"/>
      <c r="B892" s="369"/>
      <c r="C892" s="369"/>
      <c r="D892" s="369"/>
      <c r="E892" s="369"/>
      <c r="F892" s="369"/>
      <c r="G892" s="369"/>
      <c r="H892" s="370"/>
      <c r="I892" s="371"/>
      <c r="J892" s="371"/>
      <c r="K892" s="370"/>
      <c r="L892" s="369"/>
      <c r="M892" s="369"/>
      <c r="N892" s="369"/>
      <c r="O892" s="369"/>
      <c r="P892" s="369"/>
      <c r="Q892" s="369"/>
      <c r="R892" s="369"/>
      <c r="S892" s="369"/>
      <c r="T892" s="369"/>
      <c r="U892" s="369"/>
      <c r="V892" s="369"/>
      <c r="W892" s="369"/>
      <c r="X892" s="369"/>
      <c r="Y892" s="369"/>
      <c r="Z892" s="369"/>
    </row>
    <row r="893" spans="1:26" ht="14.25" customHeight="1">
      <c r="A893" s="369"/>
      <c r="B893" s="369"/>
      <c r="C893" s="369"/>
      <c r="D893" s="369"/>
      <c r="E893" s="369"/>
      <c r="F893" s="369"/>
      <c r="G893" s="369"/>
      <c r="H893" s="370"/>
      <c r="I893" s="371"/>
      <c r="J893" s="371"/>
      <c r="K893" s="370"/>
      <c r="L893" s="369"/>
      <c r="M893" s="369"/>
      <c r="N893" s="369"/>
      <c r="O893" s="369"/>
      <c r="P893" s="369"/>
      <c r="Q893" s="369"/>
      <c r="R893" s="369"/>
      <c r="S893" s="369"/>
      <c r="T893" s="369"/>
      <c r="U893" s="369"/>
      <c r="V893" s="369"/>
      <c r="W893" s="369"/>
      <c r="X893" s="369"/>
      <c r="Y893" s="369"/>
      <c r="Z893" s="369"/>
    </row>
    <row r="894" spans="1:26" ht="14.25" customHeight="1">
      <c r="A894" s="369"/>
      <c r="B894" s="369"/>
      <c r="C894" s="369"/>
      <c r="D894" s="369"/>
      <c r="E894" s="369"/>
      <c r="F894" s="369"/>
      <c r="G894" s="369"/>
      <c r="H894" s="370"/>
      <c r="I894" s="371"/>
      <c r="J894" s="371"/>
      <c r="K894" s="370"/>
      <c r="L894" s="369"/>
      <c r="M894" s="369"/>
      <c r="N894" s="369"/>
      <c r="O894" s="369"/>
      <c r="P894" s="369"/>
      <c r="Q894" s="369"/>
      <c r="R894" s="369"/>
      <c r="S894" s="369"/>
      <c r="T894" s="369"/>
      <c r="U894" s="369"/>
      <c r="V894" s="369"/>
      <c r="W894" s="369"/>
      <c r="X894" s="369"/>
      <c r="Y894" s="369"/>
      <c r="Z894" s="369"/>
    </row>
    <row r="895" spans="1:26" ht="14.25" customHeight="1">
      <c r="A895" s="369"/>
      <c r="B895" s="369"/>
      <c r="C895" s="369"/>
      <c r="D895" s="369"/>
      <c r="E895" s="369"/>
      <c r="F895" s="369"/>
      <c r="G895" s="369"/>
      <c r="H895" s="370"/>
      <c r="I895" s="371"/>
      <c r="J895" s="371"/>
      <c r="K895" s="370"/>
      <c r="L895" s="369"/>
      <c r="M895" s="369"/>
      <c r="N895" s="369"/>
      <c r="O895" s="369"/>
      <c r="P895" s="369"/>
      <c r="Q895" s="369"/>
      <c r="R895" s="369"/>
      <c r="S895" s="369"/>
      <c r="T895" s="369"/>
      <c r="U895" s="369"/>
      <c r="V895" s="369"/>
      <c r="W895" s="369"/>
      <c r="X895" s="369"/>
      <c r="Y895" s="369"/>
      <c r="Z895" s="369"/>
    </row>
    <row r="896" spans="1:26" ht="14.25" customHeight="1">
      <c r="A896" s="369"/>
      <c r="B896" s="369"/>
      <c r="C896" s="369"/>
      <c r="D896" s="369"/>
      <c r="E896" s="369"/>
      <c r="F896" s="369"/>
      <c r="G896" s="369"/>
      <c r="H896" s="370"/>
      <c r="I896" s="371"/>
      <c r="J896" s="371"/>
      <c r="K896" s="370"/>
      <c r="L896" s="369"/>
      <c r="M896" s="369"/>
      <c r="N896" s="369"/>
      <c r="O896" s="369"/>
      <c r="P896" s="369"/>
      <c r="Q896" s="369"/>
      <c r="R896" s="369"/>
      <c r="S896" s="369"/>
      <c r="T896" s="369"/>
      <c r="U896" s="369"/>
      <c r="V896" s="369"/>
      <c r="W896" s="369"/>
      <c r="X896" s="369"/>
      <c r="Y896" s="369"/>
      <c r="Z896" s="369"/>
    </row>
    <row r="897" spans="1:26" ht="14.25" customHeight="1">
      <c r="A897" s="369"/>
      <c r="B897" s="369"/>
      <c r="C897" s="369"/>
      <c r="D897" s="369"/>
      <c r="E897" s="369"/>
      <c r="F897" s="369"/>
      <c r="G897" s="369"/>
      <c r="H897" s="370"/>
      <c r="I897" s="371"/>
      <c r="J897" s="371"/>
      <c r="K897" s="370"/>
      <c r="L897" s="369"/>
      <c r="M897" s="369"/>
      <c r="N897" s="369"/>
      <c r="O897" s="369"/>
      <c r="P897" s="369"/>
      <c r="Q897" s="369"/>
      <c r="R897" s="369"/>
      <c r="S897" s="369"/>
      <c r="T897" s="369"/>
      <c r="U897" s="369"/>
      <c r="V897" s="369"/>
      <c r="W897" s="369"/>
      <c r="X897" s="369"/>
      <c r="Y897" s="369"/>
      <c r="Z897" s="369"/>
    </row>
    <row r="898" spans="1:26" ht="14.25" customHeight="1">
      <c r="A898" s="369"/>
      <c r="B898" s="369"/>
      <c r="C898" s="369"/>
      <c r="D898" s="369"/>
      <c r="E898" s="369"/>
      <c r="F898" s="369"/>
      <c r="G898" s="369"/>
      <c r="H898" s="370"/>
      <c r="I898" s="371"/>
      <c r="J898" s="371"/>
      <c r="K898" s="370"/>
      <c r="L898" s="369"/>
      <c r="M898" s="369"/>
      <c r="N898" s="369"/>
      <c r="O898" s="369"/>
      <c r="P898" s="369"/>
      <c r="Q898" s="369"/>
      <c r="R898" s="369"/>
      <c r="S898" s="369"/>
      <c r="T898" s="369"/>
      <c r="U898" s="369"/>
      <c r="V898" s="369"/>
      <c r="W898" s="369"/>
      <c r="X898" s="369"/>
      <c r="Y898" s="369"/>
      <c r="Z898" s="369"/>
    </row>
    <row r="899" spans="1:26" ht="14.25" customHeight="1">
      <c r="A899" s="369"/>
      <c r="B899" s="369"/>
      <c r="C899" s="369"/>
      <c r="D899" s="369"/>
      <c r="E899" s="369"/>
      <c r="F899" s="369"/>
      <c r="G899" s="369"/>
      <c r="H899" s="370"/>
      <c r="I899" s="371"/>
      <c r="J899" s="371"/>
      <c r="K899" s="370"/>
      <c r="L899" s="369"/>
      <c r="M899" s="369"/>
      <c r="N899" s="369"/>
      <c r="O899" s="369"/>
      <c r="P899" s="369"/>
      <c r="Q899" s="369"/>
      <c r="R899" s="369"/>
      <c r="S899" s="369"/>
      <c r="T899" s="369"/>
      <c r="U899" s="369"/>
      <c r="V899" s="369"/>
      <c r="W899" s="369"/>
      <c r="X899" s="369"/>
      <c r="Y899" s="369"/>
      <c r="Z899" s="369"/>
    </row>
    <row r="900" spans="1:26" ht="14.25" customHeight="1">
      <c r="A900" s="369"/>
      <c r="B900" s="369"/>
      <c r="C900" s="369"/>
      <c r="D900" s="369"/>
      <c r="E900" s="369"/>
      <c r="F900" s="369"/>
      <c r="G900" s="369"/>
      <c r="H900" s="370"/>
      <c r="I900" s="371"/>
      <c r="J900" s="371"/>
      <c r="K900" s="370"/>
      <c r="L900" s="369"/>
      <c r="M900" s="369"/>
      <c r="N900" s="369"/>
      <c r="O900" s="369"/>
      <c r="P900" s="369"/>
      <c r="Q900" s="369"/>
      <c r="R900" s="369"/>
      <c r="S900" s="369"/>
      <c r="T900" s="369"/>
      <c r="U900" s="369"/>
      <c r="V900" s="369"/>
      <c r="W900" s="369"/>
      <c r="X900" s="369"/>
      <c r="Y900" s="369"/>
      <c r="Z900" s="369"/>
    </row>
    <row r="901" spans="1:26" ht="14.25" customHeight="1">
      <c r="A901" s="369"/>
      <c r="B901" s="369"/>
      <c r="C901" s="369"/>
      <c r="D901" s="369"/>
      <c r="E901" s="369"/>
      <c r="F901" s="369"/>
      <c r="G901" s="369"/>
      <c r="H901" s="370"/>
      <c r="I901" s="371"/>
      <c r="J901" s="371"/>
      <c r="K901" s="370"/>
      <c r="L901" s="369"/>
      <c r="M901" s="369"/>
      <c r="N901" s="369"/>
      <c r="O901" s="369"/>
      <c r="P901" s="369"/>
      <c r="Q901" s="369"/>
      <c r="R901" s="369"/>
      <c r="S901" s="369"/>
      <c r="T901" s="369"/>
      <c r="U901" s="369"/>
      <c r="V901" s="369"/>
      <c r="W901" s="369"/>
      <c r="X901" s="369"/>
      <c r="Y901" s="369"/>
      <c r="Z901" s="369"/>
    </row>
    <row r="902" spans="1:26" ht="14.25" customHeight="1">
      <c r="A902" s="369"/>
      <c r="B902" s="369"/>
      <c r="C902" s="369"/>
      <c r="D902" s="369"/>
      <c r="E902" s="369"/>
      <c r="F902" s="369"/>
      <c r="G902" s="369"/>
      <c r="H902" s="370"/>
      <c r="I902" s="371"/>
      <c r="J902" s="371"/>
      <c r="K902" s="370"/>
      <c r="L902" s="369"/>
      <c r="M902" s="369"/>
      <c r="N902" s="369"/>
      <c r="O902" s="369"/>
      <c r="P902" s="369"/>
      <c r="Q902" s="369"/>
      <c r="R902" s="369"/>
      <c r="S902" s="369"/>
      <c r="T902" s="369"/>
      <c r="U902" s="369"/>
      <c r="V902" s="369"/>
      <c r="W902" s="369"/>
      <c r="X902" s="369"/>
      <c r="Y902" s="369"/>
      <c r="Z902" s="369"/>
    </row>
    <row r="903" spans="1:26" ht="14.25" customHeight="1">
      <c r="A903" s="369"/>
      <c r="B903" s="369"/>
      <c r="C903" s="369"/>
      <c r="D903" s="369"/>
      <c r="E903" s="369"/>
      <c r="F903" s="369"/>
      <c r="G903" s="369"/>
      <c r="H903" s="370"/>
      <c r="I903" s="371"/>
      <c r="J903" s="371"/>
      <c r="K903" s="370"/>
      <c r="L903" s="369"/>
      <c r="M903" s="369"/>
      <c r="N903" s="369"/>
      <c r="O903" s="369"/>
      <c r="P903" s="369"/>
      <c r="Q903" s="369"/>
      <c r="R903" s="369"/>
      <c r="S903" s="369"/>
      <c r="T903" s="369"/>
      <c r="U903" s="369"/>
      <c r="V903" s="369"/>
      <c r="W903" s="369"/>
      <c r="X903" s="369"/>
      <c r="Y903" s="369"/>
      <c r="Z903" s="369"/>
    </row>
    <row r="904" spans="1:26" ht="14.25" customHeight="1">
      <c r="A904" s="369"/>
      <c r="B904" s="369"/>
      <c r="C904" s="369"/>
      <c r="D904" s="369"/>
      <c r="E904" s="369"/>
      <c r="F904" s="369"/>
      <c r="G904" s="369"/>
      <c r="H904" s="370"/>
      <c r="I904" s="371"/>
      <c r="J904" s="371"/>
      <c r="K904" s="370"/>
      <c r="L904" s="369"/>
      <c r="M904" s="369"/>
      <c r="N904" s="369"/>
      <c r="O904" s="369"/>
      <c r="P904" s="369"/>
      <c r="Q904" s="369"/>
      <c r="R904" s="369"/>
      <c r="S904" s="369"/>
      <c r="T904" s="369"/>
      <c r="U904" s="369"/>
      <c r="V904" s="369"/>
      <c r="W904" s="369"/>
      <c r="X904" s="369"/>
      <c r="Y904" s="369"/>
      <c r="Z904" s="369"/>
    </row>
    <row r="905" spans="1:26" ht="14.25" customHeight="1">
      <c r="A905" s="369"/>
      <c r="B905" s="369"/>
      <c r="C905" s="369"/>
      <c r="D905" s="369"/>
      <c r="E905" s="369"/>
      <c r="F905" s="369"/>
      <c r="G905" s="369"/>
      <c r="H905" s="370"/>
      <c r="I905" s="371"/>
      <c r="J905" s="371"/>
      <c r="K905" s="370"/>
      <c r="L905" s="369"/>
      <c r="M905" s="369"/>
      <c r="N905" s="369"/>
      <c r="O905" s="369"/>
      <c r="P905" s="369"/>
      <c r="Q905" s="369"/>
      <c r="R905" s="369"/>
      <c r="S905" s="369"/>
      <c r="T905" s="369"/>
      <c r="U905" s="369"/>
      <c r="V905" s="369"/>
      <c r="W905" s="369"/>
      <c r="X905" s="369"/>
      <c r="Y905" s="369"/>
      <c r="Z905" s="369"/>
    </row>
    <row r="906" spans="1:26" ht="14.25" customHeight="1">
      <c r="A906" s="369"/>
      <c r="B906" s="369"/>
      <c r="C906" s="369"/>
      <c r="D906" s="369"/>
      <c r="E906" s="369"/>
      <c r="F906" s="369"/>
      <c r="G906" s="369"/>
      <c r="H906" s="370"/>
      <c r="I906" s="371"/>
      <c r="J906" s="371"/>
      <c r="K906" s="370"/>
      <c r="L906" s="369"/>
      <c r="M906" s="369"/>
      <c r="N906" s="369"/>
      <c r="O906" s="369"/>
      <c r="P906" s="369"/>
      <c r="Q906" s="369"/>
      <c r="R906" s="369"/>
      <c r="S906" s="369"/>
      <c r="T906" s="369"/>
      <c r="U906" s="369"/>
      <c r="V906" s="369"/>
      <c r="W906" s="369"/>
      <c r="X906" s="369"/>
      <c r="Y906" s="369"/>
      <c r="Z906" s="369"/>
    </row>
    <row r="907" spans="1:26" ht="14.25" customHeight="1">
      <c r="A907" s="369"/>
      <c r="B907" s="369"/>
      <c r="C907" s="369"/>
      <c r="D907" s="369"/>
      <c r="E907" s="369"/>
      <c r="F907" s="369"/>
      <c r="G907" s="369"/>
      <c r="H907" s="370"/>
      <c r="I907" s="371"/>
      <c r="J907" s="371"/>
      <c r="K907" s="370"/>
      <c r="L907" s="369"/>
      <c r="M907" s="369"/>
      <c r="N907" s="369"/>
      <c r="O907" s="369"/>
      <c r="P907" s="369"/>
      <c r="Q907" s="369"/>
      <c r="R907" s="369"/>
      <c r="S907" s="369"/>
      <c r="T907" s="369"/>
      <c r="U907" s="369"/>
      <c r="V907" s="369"/>
      <c r="W907" s="369"/>
      <c r="X907" s="369"/>
      <c r="Y907" s="369"/>
      <c r="Z907" s="369"/>
    </row>
    <row r="908" spans="1:26" ht="14.25" customHeight="1">
      <c r="A908" s="369"/>
      <c r="B908" s="369"/>
      <c r="C908" s="369"/>
      <c r="D908" s="369"/>
      <c r="E908" s="369"/>
      <c r="F908" s="369"/>
      <c r="G908" s="369"/>
      <c r="H908" s="370"/>
      <c r="I908" s="371"/>
      <c r="J908" s="371"/>
      <c r="K908" s="370"/>
      <c r="L908" s="369"/>
      <c r="M908" s="369"/>
      <c r="N908" s="369"/>
      <c r="O908" s="369"/>
      <c r="P908" s="369"/>
      <c r="Q908" s="369"/>
      <c r="R908" s="369"/>
      <c r="S908" s="369"/>
      <c r="T908" s="369"/>
      <c r="U908" s="369"/>
      <c r="V908" s="369"/>
      <c r="W908" s="369"/>
      <c r="X908" s="369"/>
      <c r="Y908" s="369"/>
      <c r="Z908" s="369"/>
    </row>
    <row r="909" spans="1:26" ht="14.25" customHeight="1">
      <c r="A909" s="369"/>
      <c r="B909" s="369"/>
      <c r="C909" s="369"/>
      <c r="D909" s="369"/>
      <c r="E909" s="369"/>
      <c r="F909" s="369"/>
      <c r="G909" s="369"/>
      <c r="H909" s="370"/>
      <c r="I909" s="371"/>
      <c r="J909" s="371"/>
      <c r="K909" s="370"/>
      <c r="L909" s="369"/>
      <c r="M909" s="369"/>
      <c r="N909" s="369"/>
      <c r="O909" s="369"/>
      <c r="P909" s="369"/>
      <c r="Q909" s="369"/>
      <c r="R909" s="369"/>
      <c r="S909" s="369"/>
      <c r="T909" s="369"/>
      <c r="U909" s="369"/>
      <c r="V909" s="369"/>
      <c r="W909" s="369"/>
      <c r="X909" s="369"/>
      <c r="Y909" s="369"/>
      <c r="Z909" s="369"/>
    </row>
    <row r="910" spans="1:26" ht="14.25" customHeight="1">
      <c r="A910" s="369"/>
      <c r="B910" s="369"/>
      <c r="C910" s="369"/>
      <c r="D910" s="369"/>
      <c r="E910" s="369"/>
      <c r="F910" s="369"/>
      <c r="G910" s="369"/>
      <c r="H910" s="370"/>
      <c r="I910" s="371"/>
      <c r="J910" s="371"/>
      <c r="K910" s="370"/>
      <c r="L910" s="369"/>
      <c r="M910" s="369"/>
      <c r="N910" s="369"/>
      <c r="O910" s="369"/>
      <c r="P910" s="369"/>
      <c r="Q910" s="369"/>
      <c r="R910" s="369"/>
      <c r="S910" s="369"/>
      <c r="T910" s="369"/>
      <c r="U910" s="369"/>
      <c r="V910" s="369"/>
      <c r="W910" s="369"/>
      <c r="X910" s="369"/>
      <c r="Y910" s="369"/>
      <c r="Z910" s="369"/>
    </row>
    <row r="911" spans="1:26" ht="14.25" customHeight="1">
      <c r="A911" s="369"/>
      <c r="B911" s="369"/>
      <c r="C911" s="369"/>
      <c r="D911" s="369"/>
      <c r="E911" s="369"/>
      <c r="F911" s="369"/>
      <c r="G911" s="369"/>
      <c r="H911" s="370"/>
      <c r="I911" s="371"/>
      <c r="J911" s="371"/>
      <c r="K911" s="370"/>
      <c r="L911" s="369"/>
      <c r="M911" s="369"/>
      <c r="N911" s="369"/>
      <c r="O911" s="369"/>
      <c r="P911" s="369"/>
      <c r="Q911" s="369"/>
      <c r="R911" s="369"/>
      <c r="S911" s="369"/>
      <c r="T911" s="369"/>
      <c r="U911" s="369"/>
      <c r="V911" s="369"/>
      <c r="W911" s="369"/>
      <c r="X911" s="369"/>
      <c r="Y911" s="369"/>
      <c r="Z911" s="369"/>
    </row>
    <row r="912" spans="1:26" ht="14.25" customHeight="1">
      <c r="A912" s="369"/>
      <c r="B912" s="369"/>
      <c r="C912" s="369"/>
      <c r="D912" s="369"/>
      <c r="E912" s="369"/>
      <c r="F912" s="369"/>
      <c r="G912" s="369"/>
      <c r="H912" s="370"/>
      <c r="I912" s="371"/>
      <c r="J912" s="371"/>
      <c r="K912" s="370"/>
      <c r="L912" s="369"/>
      <c r="M912" s="369"/>
      <c r="N912" s="369"/>
      <c r="O912" s="369"/>
      <c r="P912" s="369"/>
      <c r="Q912" s="369"/>
      <c r="R912" s="369"/>
      <c r="S912" s="369"/>
      <c r="T912" s="369"/>
      <c r="U912" s="369"/>
      <c r="V912" s="369"/>
      <c r="W912" s="369"/>
      <c r="X912" s="369"/>
      <c r="Y912" s="369"/>
      <c r="Z912" s="369"/>
    </row>
    <row r="913" spans="1:26" ht="14.25" customHeight="1">
      <c r="A913" s="369"/>
      <c r="B913" s="369"/>
      <c r="C913" s="369"/>
      <c r="D913" s="369"/>
      <c r="E913" s="369"/>
      <c r="F913" s="369"/>
      <c r="G913" s="369"/>
      <c r="H913" s="370"/>
      <c r="I913" s="371"/>
      <c r="J913" s="371"/>
      <c r="K913" s="370"/>
      <c r="L913" s="369"/>
      <c r="M913" s="369"/>
      <c r="N913" s="369"/>
      <c r="O913" s="369"/>
      <c r="P913" s="369"/>
      <c r="Q913" s="369"/>
      <c r="R913" s="369"/>
      <c r="S913" s="369"/>
      <c r="T913" s="369"/>
      <c r="U913" s="369"/>
      <c r="V913" s="369"/>
      <c r="W913" s="369"/>
      <c r="X913" s="369"/>
      <c r="Y913" s="369"/>
      <c r="Z913" s="369"/>
    </row>
    <row r="914" spans="1:26" ht="14.25" customHeight="1">
      <c r="A914" s="369"/>
      <c r="B914" s="369"/>
      <c r="C914" s="369"/>
      <c r="D914" s="369"/>
      <c r="E914" s="369"/>
      <c r="F914" s="369"/>
      <c r="G914" s="369"/>
      <c r="H914" s="370"/>
      <c r="I914" s="371"/>
      <c r="J914" s="371"/>
      <c r="K914" s="370"/>
      <c r="L914" s="369"/>
      <c r="M914" s="369"/>
      <c r="N914" s="369"/>
      <c r="O914" s="369"/>
      <c r="P914" s="369"/>
      <c r="Q914" s="369"/>
      <c r="R914" s="369"/>
      <c r="S914" s="369"/>
      <c r="T914" s="369"/>
      <c r="U914" s="369"/>
      <c r="V914" s="369"/>
      <c r="W914" s="369"/>
      <c r="X914" s="369"/>
      <c r="Y914" s="369"/>
      <c r="Z914" s="369"/>
    </row>
    <row r="915" spans="1:26" ht="14.25" customHeight="1">
      <c r="A915" s="369"/>
      <c r="B915" s="369"/>
      <c r="C915" s="369"/>
      <c r="D915" s="369"/>
      <c r="E915" s="369"/>
      <c r="F915" s="369"/>
      <c r="G915" s="369"/>
      <c r="H915" s="370"/>
      <c r="I915" s="371"/>
      <c r="J915" s="371"/>
      <c r="K915" s="370"/>
      <c r="L915" s="369"/>
      <c r="M915" s="369"/>
      <c r="N915" s="369"/>
      <c r="O915" s="369"/>
      <c r="P915" s="369"/>
      <c r="Q915" s="369"/>
      <c r="R915" s="369"/>
      <c r="S915" s="369"/>
      <c r="T915" s="369"/>
      <c r="U915" s="369"/>
      <c r="V915" s="369"/>
      <c r="W915" s="369"/>
      <c r="X915" s="369"/>
      <c r="Y915" s="369"/>
      <c r="Z915" s="369"/>
    </row>
    <row r="916" spans="1:26" ht="14.25" customHeight="1">
      <c r="A916" s="369"/>
      <c r="B916" s="369"/>
      <c r="C916" s="369"/>
      <c r="D916" s="369"/>
      <c r="E916" s="369"/>
      <c r="F916" s="369"/>
      <c r="G916" s="369"/>
      <c r="H916" s="370"/>
      <c r="I916" s="371"/>
      <c r="J916" s="371"/>
      <c r="K916" s="370"/>
      <c r="L916" s="369"/>
      <c r="M916" s="369"/>
      <c r="N916" s="369"/>
      <c r="O916" s="369"/>
      <c r="P916" s="369"/>
      <c r="Q916" s="369"/>
      <c r="R916" s="369"/>
      <c r="S916" s="369"/>
      <c r="T916" s="369"/>
      <c r="U916" s="369"/>
      <c r="V916" s="369"/>
      <c r="W916" s="369"/>
      <c r="X916" s="369"/>
      <c r="Y916" s="369"/>
      <c r="Z916" s="369"/>
    </row>
    <row r="917" spans="1:26" ht="14.25" customHeight="1">
      <c r="A917" s="369"/>
      <c r="B917" s="369"/>
      <c r="C917" s="369"/>
      <c r="D917" s="369"/>
      <c r="E917" s="369"/>
      <c r="F917" s="369"/>
      <c r="G917" s="369"/>
      <c r="H917" s="370"/>
      <c r="I917" s="371"/>
      <c r="J917" s="371"/>
      <c r="K917" s="370"/>
      <c r="L917" s="369"/>
      <c r="M917" s="369"/>
      <c r="N917" s="369"/>
      <c r="O917" s="369"/>
      <c r="P917" s="369"/>
      <c r="Q917" s="369"/>
      <c r="R917" s="369"/>
      <c r="S917" s="369"/>
      <c r="T917" s="369"/>
      <c r="U917" s="369"/>
      <c r="V917" s="369"/>
      <c r="W917" s="369"/>
      <c r="X917" s="369"/>
      <c r="Y917" s="369"/>
      <c r="Z917" s="369"/>
    </row>
    <row r="918" spans="1:26" ht="14.25" customHeight="1">
      <c r="A918" s="369"/>
      <c r="B918" s="369"/>
      <c r="C918" s="369"/>
      <c r="D918" s="369"/>
      <c r="E918" s="369"/>
      <c r="F918" s="369"/>
      <c r="G918" s="369"/>
      <c r="H918" s="370"/>
      <c r="I918" s="371"/>
      <c r="J918" s="371"/>
      <c r="K918" s="370"/>
      <c r="L918" s="369"/>
      <c r="M918" s="369"/>
      <c r="N918" s="369"/>
      <c r="O918" s="369"/>
      <c r="P918" s="369"/>
      <c r="Q918" s="369"/>
      <c r="R918" s="369"/>
      <c r="S918" s="369"/>
      <c r="T918" s="369"/>
      <c r="U918" s="369"/>
      <c r="V918" s="369"/>
      <c r="W918" s="369"/>
      <c r="X918" s="369"/>
      <c r="Y918" s="369"/>
      <c r="Z918" s="369"/>
    </row>
    <row r="919" spans="1:26" ht="14.25" customHeight="1">
      <c r="A919" s="369"/>
      <c r="B919" s="369"/>
      <c r="C919" s="369"/>
      <c r="D919" s="369"/>
      <c r="E919" s="369"/>
      <c r="F919" s="369"/>
      <c r="G919" s="369"/>
      <c r="H919" s="370"/>
      <c r="I919" s="371"/>
      <c r="J919" s="371"/>
      <c r="K919" s="370"/>
      <c r="L919" s="369"/>
      <c r="M919" s="369"/>
      <c r="N919" s="369"/>
      <c r="O919" s="369"/>
      <c r="P919" s="369"/>
      <c r="Q919" s="369"/>
      <c r="R919" s="369"/>
      <c r="S919" s="369"/>
      <c r="T919" s="369"/>
      <c r="U919" s="369"/>
      <c r="V919" s="369"/>
      <c r="W919" s="369"/>
      <c r="X919" s="369"/>
      <c r="Y919" s="369"/>
      <c r="Z919" s="369"/>
    </row>
    <row r="920" spans="1:26" ht="14.25" customHeight="1">
      <c r="A920" s="369"/>
      <c r="B920" s="369"/>
      <c r="C920" s="369"/>
      <c r="D920" s="369"/>
      <c r="E920" s="369"/>
      <c r="F920" s="369"/>
      <c r="G920" s="369"/>
      <c r="H920" s="370"/>
      <c r="I920" s="371"/>
      <c r="J920" s="371"/>
      <c r="K920" s="370"/>
      <c r="L920" s="369"/>
      <c r="M920" s="369"/>
      <c r="N920" s="369"/>
      <c r="O920" s="369"/>
      <c r="P920" s="369"/>
      <c r="Q920" s="369"/>
      <c r="R920" s="369"/>
      <c r="S920" s="369"/>
      <c r="T920" s="369"/>
      <c r="U920" s="369"/>
      <c r="V920" s="369"/>
      <c r="W920" s="369"/>
      <c r="X920" s="369"/>
      <c r="Y920" s="369"/>
      <c r="Z920" s="369"/>
    </row>
    <row r="921" spans="1:26" ht="14.25" customHeight="1">
      <c r="A921" s="369"/>
      <c r="B921" s="369"/>
      <c r="C921" s="369"/>
      <c r="D921" s="369"/>
      <c r="E921" s="369"/>
      <c r="F921" s="369"/>
      <c r="G921" s="369"/>
      <c r="H921" s="370"/>
      <c r="I921" s="371"/>
      <c r="J921" s="371"/>
      <c r="K921" s="370"/>
      <c r="L921" s="369"/>
      <c r="M921" s="369"/>
      <c r="N921" s="369"/>
      <c r="O921" s="369"/>
      <c r="P921" s="369"/>
      <c r="Q921" s="369"/>
      <c r="R921" s="369"/>
      <c r="S921" s="369"/>
      <c r="T921" s="369"/>
      <c r="U921" s="369"/>
      <c r="V921" s="369"/>
      <c r="W921" s="369"/>
      <c r="X921" s="369"/>
      <c r="Y921" s="369"/>
      <c r="Z921" s="369"/>
    </row>
    <row r="922" spans="1:26" ht="14.25" customHeight="1">
      <c r="A922" s="369"/>
      <c r="B922" s="369"/>
      <c r="C922" s="369"/>
      <c r="D922" s="369"/>
      <c r="E922" s="369"/>
      <c r="F922" s="369"/>
      <c r="G922" s="369"/>
      <c r="H922" s="370"/>
      <c r="I922" s="371"/>
      <c r="J922" s="371"/>
      <c r="K922" s="370"/>
      <c r="L922" s="369"/>
      <c r="M922" s="369"/>
      <c r="N922" s="369"/>
      <c r="O922" s="369"/>
      <c r="P922" s="369"/>
      <c r="Q922" s="369"/>
      <c r="R922" s="369"/>
      <c r="S922" s="369"/>
      <c r="T922" s="369"/>
      <c r="U922" s="369"/>
      <c r="V922" s="369"/>
      <c r="W922" s="369"/>
      <c r="X922" s="369"/>
      <c r="Y922" s="369"/>
      <c r="Z922" s="369"/>
    </row>
    <row r="923" spans="1:26" ht="14.25" customHeight="1">
      <c r="A923" s="369"/>
      <c r="B923" s="369"/>
      <c r="C923" s="369"/>
      <c r="D923" s="369"/>
      <c r="E923" s="369"/>
      <c r="F923" s="369"/>
      <c r="G923" s="369"/>
      <c r="H923" s="370"/>
      <c r="I923" s="371"/>
      <c r="J923" s="371"/>
      <c r="K923" s="370"/>
      <c r="L923" s="369"/>
      <c r="M923" s="369"/>
      <c r="N923" s="369"/>
      <c r="O923" s="369"/>
      <c r="P923" s="369"/>
      <c r="Q923" s="369"/>
      <c r="R923" s="369"/>
      <c r="S923" s="369"/>
      <c r="T923" s="369"/>
      <c r="U923" s="369"/>
      <c r="V923" s="369"/>
      <c r="W923" s="369"/>
      <c r="X923" s="369"/>
      <c r="Y923" s="369"/>
      <c r="Z923" s="369"/>
    </row>
    <row r="924" spans="1:26" ht="14.25" customHeight="1">
      <c r="A924" s="369"/>
      <c r="B924" s="369"/>
      <c r="C924" s="369"/>
      <c r="D924" s="369"/>
      <c r="E924" s="369"/>
      <c r="F924" s="369"/>
      <c r="G924" s="369"/>
      <c r="H924" s="370"/>
      <c r="I924" s="371"/>
      <c r="J924" s="371"/>
      <c r="K924" s="370"/>
      <c r="L924" s="369"/>
      <c r="M924" s="369"/>
      <c r="N924" s="369"/>
      <c r="O924" s="369"/>
      <c r="P924" s="369"/>
      <c r="Q924" s="369"/>
      <c r="R924" s="369"/>
      <c r="S924" s="369"/>
      <c r="T924" s="369"/>
      <c r="U924" s="369"/>
      <c r="V924" s="369"/>
      <c r="W924" s="369"/>
      <c r="X924" s="369"/>
      <c r="Y924" s="369"/>
      <c r="Z924" s="369"/>
    </row>
    <row r="925" spans="1:26" ht="14.25" customHeight="1">
      <c r="A925" s="369"/>
      <c r="B925" s="369"/>
      <c r="C925" s="369"/>
      <c r="D925" s="369"/>
      <c r="E925" s="369"/>
      <c r="F925" s="369"/>
      <c r="G925" s="369"/>
      <c r="H925" s="370"/>
      <c r="I925" s="371"/>
      <c r="J925" s="371"/>
      <c r="K925" s="370"/>
      <c r="L925" s="369"/>
      <c r="M925" s="369"/>
      <c r="N925" s="369"/>
      <c r="O925" s="369"/>
      <c r="P925" s="369"/>
      <c r="Q925" s="369"/>
      <c r="R925" s="369"/>
      <c r="S925" s="369"/>
      <c r="T925" s="369"/>
      <c r="U925" s="369"/>
      <c r="V925" s="369"/>
      <c r="W925" s="369"/>
      <c r="X925" s="369"/>
      <c r="Y925" s="369"/>
      <c r="Z925" s="369"/>
    </row>
    <row r="926" spans="1:26" ht="14.25" customHeight="1">
      <c r="A926" s="369"/>
      <c r="B926" s="369"/>
      <c r="C926" s="369"/>
      <c r="D926" s="369"/>
      <c r="E926" s="369"/>
      <c r="F926" s="369"/>
      <c r="G926" s="369"/>
      <c r="H926" s="370"/>
      <c r="I926" s="371"/>
      <c r="J926" s="371"/>
      <c r="K926" s="370"/>
      <c r="L926" s="369"/>
      <c r="M926" s="369"/>
      <c r="N926" s="369"/>
      <c r="O926" s="369"/>
      <c r="P926" s="369"/>
      <c r="Q926" s="369"/>
      <c r="R926" s="369"/>
      <c r="S926" s="369"/>
      <c r="T926" s="369"/>
      <c r="U926" s="369"/>
      <c r="V926" s="369"/>
      <c r="W926" s="369"/>
      <c r="X926" s="369"/>
      <c r="Y926" s="369"/>
      <c r="Z926" s="369"/>
    </row>
    <row r="927" spans="1:26" ht="14.25" customHeight="1">
      <c r="A927" s="369"/>
      <c r="B927" s="369"/>
      <c r="C927" s="369"/>
      <c r="D927" s="369"/>
      <c r="E927" s="369"/>
      <c r="F927" s="369"/>
      <c r="G927" s="369"/>
      <c r="H927" s="370"/>
      <c r="I927" s="371"/>
      <c r="J927" s="371"/>
      <c r="K927" s="370"/>
      <c r="L927" s="369"/>
      <c r="M927" s="369"/>
      <c r="N927" s="369"/>
      <c r="O927" s="369"/>
      <c r="P927" s="369"/>
      <c r="Q927" s="369"/>
      <c r="R927" s="369"/>
      <c r="S927" s="369"/>
      <c r="T927" s="369"/>
      <c r="U927" s="369"/>
      <c r="V927" s="369"/>
      <c r="W927" s="369"/>
      <c r="X927" s="369"/>
      <c r="Y927" s="369"/>
      <c r="Z927" s="369"/>
    </row>
    <row r="928" spans="1:26" ht="14.25" customHeight="1">
      <c r="A928" s="369"/>
      <c r="B928" s="369"/>
      <c r="C928" s="369"/>
      <c r="D928" s="369"/>
      <c r="E928" s="369"/>
      <c r="F928" s="369"/>
      <c r="G928" s="369"/>
      <c r="H928" s="370"/>
      <c r="I928" s="371"/>
      <c r="J928" s="371"/>
      <c r="K928" s="370"/>
      <c r="L928" s="369"/>
      <c r="M928" s="369"/>
      <c r="N928" s="369"/>
      <c r="O928" s="369"/>
      <c r="P928" s="369"/>
      <c r="Q928" s="369"/>
      <c r="R928" s="369"/>
      <c r="S928" s="369"/>
      <c r="T928" s="369"/>
      <c r="U928" s="369"/>
      <c r="V928" s="369"/>
      <c r="W928" s="369"/>
      <c r="X928" s="369"/>
      <c r="Y928" s="369"/>
      <c r="Z928" s="369"/>
    </row>
    <row r="929" spans="1:26" ht="14.25" customHeight="1">
      <c r="A929" s="369"/>
      <c r="B929" s="369"/>
      <c r="C929" s="369"/>
      <c r="D929" s="369"/>
      <c r="E929" s="369"/>
      <c r="F929" s="369"/>
      <c r="G929" s="369"/>
      <c r="H929" s="370"/>
      <c r="I929" s="371"/>
      <c r="J929" s="371"/>
      <c r="K929" s="370"/>
      <c r="L929" s="369"/>
      <c r="M929" s="369"/>
      <c r="N929" s="369"/>
      <c r="O929" s="369"/>
      <c r="P929" s="369"/>
      <c r="Q929" s="369"/>
      <c r="R929" s="369"/>
      <c r="S929" s="369"/>
      <c r="T929" s="369"/>
      <c r="U929" s="369"/>
      <c r="V929" s="369"/>
      <c r="W929" s="369"/>
      <c r="X929" s="369"/>
      <c r="Y929" s="369"/>
      <c r="Z929" s="369"/>
    </row>
    <row r="930" spans="1:26" ht="14.25" customHeight="1">
      <c r="A930" s="369"/>
      <c r="B930" s="369"/>
      <c r="C930" s="369"/>
      <c r="D930" s="369"/>
      <c r="E930" s="369"/>
      <c r="F930" s="369"/>
      <c r="G930" s="369"/>
      <c r="H930" s="370"/>
      <c r="I930" s="371"/>
      <c r="J930" s="371"/>
      <c r="K930" s="370"/>
      <c r="L930" s="369"/>
      <c r="M930" s="369"/>
      <c r="N930" s="369"/>
      <c r="O930" s="369"/>
      <c r="P930" s="369"/>
      <c r="Q930" s="369"/>
      <c r="R930" s="369"/>
      <c r="S930" s="369"/>
      <c r="T930" s="369"/>
      <c r="U930" s="369"/>
      <c r="V930" s="369"/>
      <c r="W930" s="369"/>
      <c r="X930" s="369"/>
      <c r="Y930" s="369"/>
      <c r="Z930" s="369"/>
    </row>
    <row r="931" spans="1:26" ht="14.25" customHeight="1">
      <c r="A931" s="369"/>
      <c r="B931" s="369"/>
      <c r="C931" s="369"/>
      <c r="D931" s="369"/>
      <c r="E931" s="369"/>
      <c r="F931" s="369"/>
      <c r="G931" s="369"/>
      <c r="H931" s="370"/>
      <c r="I931" s="371"/>
      <c r="J931" s="371"/>
      <c r="K931" s="370"/>
      <c r="L931" s="369"/>
      <c r="M931" s="369"/>
      <c r="N931" s="369"/>
      <c r="O931" s="369"/>
      <c r="P931" s="369"/>
      <c r="Q931" s="369"/>
      <c r="R931" s="369"/>
      <c r="S931" s="369"/>
      <c r="T931" s="369"/>
      <c r="U931" s="369"/>
      <c r="V931" s="369"/>
      <c r="W931" s="369"/>
      <c r="X931" s="369"/>
      <c r="Y931" s="369"/>
      <c r="Z931" s="369"/>
    </row>
    <row r="932" spans="1:26" ht="14.25" customHeight="1">
      <c r="A932" s="369"/>
      <c r="B932" s="369"/>
      <c r="C932" s="369"/>
      <c r="D932" s="369"/>
      <c r="E932" s="369"/>
      <c r="F932" s="369"/>
      <c r="G932" s="369"/>
      <c r="H932" s="370"/>
      <c r="I932" s="371"/>
      <c r="J932" s="371"/>
      <c r="K932" s="370"/>
      <c r="L932" s="369"/>
      <c r="M932" s="369"/>
      <c r="N932" s="369"/>
      <c r="O932" s="369"/>
      <c r="P932" s="369"/>
      <c r="Q932" s="369"/>
      <c r="R932" s="369"/>
      <c r="S932" s="369"/>
      <c r="T932" s="369"/>
      <c r="U932" s="369"/>
      <c r="V932" s="369"/>
      <c r="W932" s="369"/>
      <c r="X932" s="369"/>
      <c r="Y932" s="369"/>
      <c r="Z932" s="369"/>
    </row>
    <row r="933" spans="1:26" ht="14.25" customHeight="1">
      <c r="A933" s="369"/>
      <c r="B933" s="369"/>
      <c r="C933" s="369"/>
      <c r="D933" s="369"/>
      <c r="E933" s="369"/>
      <c r="F933" s="369"/>
      <c r="G933" s="369"/>
      <c r="H933" s="370"/>
      <c r="I933" s="371"/>
      <c r="J933" s="371"/>
      <c r="K933" s="370"/>
      <c r="L933" s="369"/>
      <c r="M933" s="369"/>
      <c r="N933" s="369"/>
      <c r="O933" s="369"/>
      <c r="P933" s="369"/>
      <c r="Q933" s="369"/>
      <c r="R933" s="369"/>
      <c r="S933" s="369"/>
      <c r="T933" s="369"/>
      <c r="U933" s="369"/>
      <c r="V933" s="369"/>
      <c r="W933" s="369"/>
      <c r="X933" s="369"/>
      <c r="Y933" s="369"/>
      <c r="Z933" s="369"/>
    </row>
    <row r="934" spans="1:26" ht="14.25" customHeight="1">
      <c r="A934" s="369"/>
      <c r="B934" s="369"/>
      <c r="C934" s="369"/>
      <c r="D934" s="369"/>
      <c r="E934" s="369"/>
      <c r="F934" s="369"/>
      <c r="G934" s="369"/>
      <c r="H934" s="370"/>
      <c r="I934" s="371"/>
      <c r="J934" s="371"/>
      <c r="K934" s="370"/>
      <c r="L934" s="369"/>
      <c r="M934" s="369"/>
      <c r="N934" s="369"/>
      <c r="O934" s="369"/>
      <c r="P934" s="369"/>
      <c r="Q934" s="369"/>
      <c r="R934" s="369"/>
      <c r="S934" s="369"/>
      <c r="T934" s="369"/>
      <c r="U934" s="369"/>
      <c r="V934" s="369"/>
      <c r="W934" s="369"/>
      <c r="X934" s="369"/>
      <c r="Y934" s="369"/>
      <c r="Z934" s="369"/>
    </row>
    <row r="935" spans="1:26" ht="14.25" customHeight="1">
      <c r="A935" s="369"/>
      <c r="B935" s="369"/>
      <c r="C935" s="369"/>
      <c r="D935" s="369"/>
      <c r="E935" s="369"/>
      <c r="F935" s="369"/>
      <c r="G935" s="369"/>
      <c r="H935" s="370"/>
      <c r="I935" s="371"/>
      <c r="J935" s="371"/>
      <c r="K935" s="370"/>
      <c r="L935" s="369"/>
      <c r="M935" s="369"/>
      <c r="N935" s="369"/>
      <c r="O935" s="369"/>
      <c r="P935" s="369"/>
      <c r="Q935" s="369"/>
      <c r="R935" s="369"/>
      <c r="S935" s="369"/>
      <c r="T935" s="369"/>
      <c r="U935" s="369"/>
      <c r="V935" s="369"/>
      <c r="W935" s="369"/>
      <c r="X935" s="369"/>
      <c r="Y935" s="369"/>
      <c r="Z935" s="369"/>
    </row>
    <row r="936" spans="1:26" ht="14.25" customHeight="1">
      <c r="A936" s="369"/>
      <c r="B936" s="369"/>
      <c r="C936" s="369"/>
      <c r="D936" s="369"/>
      <c r="E936" s="369"/>
      <c r="F936" s="369"/>
      <c r="G936" s="369"/>
      <c r="H936" s="370"/>
      <c r="I936" s="371"/>
      <c r="J936" s="371"/>
      <c r="K936" s="370"/>
      <c r="L936" s="369"/>
      <c r="M936" s="369"/>
      <c r="N936" s="369"/>
      <c r="O936" s="369"/>
      <c r="P936" s="369"/>
      <c r="Q936" s="369"/>
      <c r="R936" s="369"/>
      <c r="S936" s="369"/>
      <c r="T936" s="369"/>
      <c r="U936" s="369"/>
      <c r="V936" s="369"/>
      <c r="W936" s="369"/>
      <c r="X936" s="369"/>
      <c r="Y936" s="369"/>
      <c r="Z936" s="369"/>
    </row>
    <row r="937" spans="1:26" ht="14.25" customHeight="1">
      <c r="A937" s="369"/>
      <c r="B937" s="369"/>
      <c r="C937" s="369"/>
      <c r="D937" s="369"/>
      <c r="E937" s="369"/>
      <c r="F937" s="369"/>
      <c r="G937" s="369"/>
      <c r="H937" s="370"/>
      <c r="I937" s="371"/>
      <c r="J937" s="371"/>
      <c r="K937" s="370"/>
      <c r="L937" s="369"/>
      <c r="M937" s="369"/>
      <c r="N937" s="369"/>
      <c r="O937" s="369"/>
      <c r="P937" s="369"/>
      <c r="Q937" s="369"/>
      <c r="R937" s="369"/>
      <c r="S937" s="369"/>
      <c r="T937" s="369"/>
      <c r="U937" s="369"/>
      <c r="V937" s="369"/>
      <c r="W937" s="369"/>
      <c r="X937" s="369"/>
      <c r="Y937" s="369"/>
      <c r="Z937" s="369"/>
    </row>
    <row r="938" spans="1:26" ht="14.25" customHeight="1">
      <c r="A938" s="369"/>
      <c r="B938" s="369"/>
      <c r="C938" s="369"/>
      <c r="D938" s="369"/>
      <c r="E938" s="369"/>
      <c r="F938" s="369"/>
      <c r="G938" s="369"/>
      <c r="H938" s="370"/>
      <c r="I938" s="371"/>
      <c r="J938" s="371"/>
      <c r="K938" s="370"/>
      <c r="L938" s="369"/>
      <c r="M938" s="369"/>
      <c r="N938" s="369"/>
      <c r="O938" s="369"/>
      <c r="P938" s="369"/>
      <c r="Q938" s="369"/>
      <c r="R938" s="369"/>
      <c r="S938" s="369"/>
      <c r="T938" s="369"/>
      <c r="U938" s="369"/>
      <c r="V938" s="369"/>
      <c r="W938" s="369"/>
      <c r="X938" s="369"/>
      <c r="Y938" s="369"/>
      <c r="Z938" s="369"/>
    </row>
    <row r="939" spans="1:26" ht="14.25" customHeight="1">
      <c r="A939" s="369"/>
      <c r="B939" s="369"/>
      <c r="C939" s="369"/>
      <c r="D939" s="369"/>
      <c r="E939" s="369"/>
      <c r="F939" s="369"/>
      <c r="G939" s="369"/>
      <c r="H939" s="370"/>
      <c r="I939" s="371"/>
      <c r="J939" s="371"/>
      <c r="K939" s="370"/>
      <c r="L939" s="369"/>
      <c r="M939" s="369"/>
      <c r="N939" s="369"/>
      <c r="O939" s="369"/>
      <c r="P939" s="369"/>
      <c r="Q939" s="369"/>
      <c r="R939" s="369"/>
      <c r="S939" s="369"/>
      <c r="T939" s="369"/>
      <c r="U939" s="369"/>
      <c r="V939" s="369"/>
      <c r="W939" s="369"/>
      <c r="X939" s="369"/>
      <c r="Y939" s="369"/>
      <c r="Z939" s="369"/>
    </row>
    <row r="940" spans="1:26" ht="14.25" customHeight="1">
      <c r="A940" s="369"/>
      <c r="B940" s="369"/>
      <c r="C940" s="369"/>
      <c r="D940" s="369"/>
      <c r="E940" s="369"/>
      <c r="F940" s="369"/>
      <c r="G940" s="369"/>
      <c r="H940" s="370"/>
      <c r="I940" s="371"/>
      <c r="J940" s="371"/>
      <c r="K940" s="370"/>
      <c r="L940" s="369"/>
      <c r="M940" s="369"/>
      <c r="N940" s="369"/>
      <c r="O940" s="369"/>
      <c r="P940" s="369"/>
      <c r="Q940" s="369"/>
      <c r="R940" s="369"/>
      <c r="S940" s="369"/>
      <c r="T940" s="369"/>
      <c r="U940" s="369"/>
      <c r="V940" s="369"/>
      <c r="W940" s="369"/>
      <c r="X940" s="369"/>
      <c r="Y940" s="369"/>
      <c r="Z940" s="369"/>
    </row>
    <row r="941" spans="1:26" ht="14.25" customHeight="1">
      <c r="A941" s="369"/>
      <c r="B941" s="369"/>
      <c r="C941" s="369"/>
      <c r="D941" s="369"/>
      <c r="E941" s="369"/>
      <c r="F941" s="369"/>
      <c r="G941" s="369"/>
      <c r="H941" s="370"/>
      <c r="I941" s="371"/>
      <c r="J941" s="371"/>
      <c r="K941" s="370"/>
      <c r="L941" s="369"/>
      <c r="M941" s="369"/>
      <c r="N941" s="369"/>
      <c r="O941" s="369"/>
      <c r="P941" s="369"/>
      <c r="Q941" s="369"/>
      <c r="R941" s="369"/>
      <c r="S941" s="369"/>
      <c r="T941" s="369"/>
      <c r="U941" s="369"/>
      <c r="V941" s="369"/>
      <c r="W941" s="369"/>
      <c r="X941" s="369"/>
      <c r="Y941" s="369"/>
      <c r="Z941" s="369"/>
    </row>
    <row r="942" spans="1:26" ht="14.25" customHeight="1">
      <c r="A942" s="369"/>
      <c r="B942" s="369"/>
      <c r="C942" s="369"/>
      <c r="D942" s="369"/>
      <c r="E942" s="369"/>
      <c r="F942" s="369"/>
      <c r="G942" s="369"/>
      <c r="H942" s="370"/>
      <c r="I942" s="371"/>
      <c r="J942" s="371"/>
      <c r="K942" s="370"/>
      <c r="L942" s="369"/>
      <c r="M942" s="369"/>
      <c r="N942" s="369"/>
      <c r="O942" s="369"/>
      <c r="P942" s="369"/>
      <c r="Q942" s="369"/>
      <c r="R942" s="369"/>
      <c r="S942" s="369"/>
      <c r="T942" s="369"/>
      <c r="U942" s="369"/>
      <c r="V942" s="369"/>
      <c r="W942" s="369"/>
      <c r="X942" s="369"/>
      <c r="Y942" s="369"/>
      <c r="Z942" s="369"/>
    </row>
    <row r="943" spans="1:26" ht="14.25" customHeight="1">
      <c r="A943" s="369"/>
      <c r="B943" s="369"/>
      <c r="C943" s="369"/>
      <c r="D943" s="369"/>
      <c r="E943" s="369"/>
      <c r="F943" s="369"/>
      <c r="G943" s="369"/>
      <c r="H943" s="370"/>
      <c r="I943" s="371"/>
      <c r="J943" s="371"/>
      <c r="K943" s="370"/>
      <c r="L943" s="369"/>
      <c r="M943" s="369"/>
      <c r="N943" s="369"/>
      <c r="O943" s="369"/>
      <c r="P943" s="369"/>
      <c r="Q943" s="369"/>
      <c r="R943" s="369"/>
      <c r="S943" s="369"/>
      <c r="T943" s="369"/>
      <c r="U943" s="369"/>
      <c r="V943" s="369"/>
      <c r="W943" s="369"/>
      <c r="X943" s="369"/>
      <c r="Y943" s="369"/>
      <c r="Z943" s="369"/>
    </row>
    <row r="944" spans="1:26" ht="14.25" customHeight="1">
      <c r="A944" s="369"/>
      <c r="B944" s="369"/>
      <c r="C944" s="369"/>
      <c r="D944" s="369"/>
      <c r="E944" s="369"/>
      <c r="F944" s="369"/>
      <c r="G944" s="369"/>
      <c r="H944" s="370"/>
      <c r="I944" s="371"/>
      <c r="J944" s="371"/>
      <c r="K944" s="370"/>
      <c r="L944" s="369"/>
      <c r="M944" s="369"/>
      <c r="N944" s="369"/>
      <c r="O944" s="369"/>
      <c r="P944" s="369"/>
      <c r="Q944" s="369"/>
      <c r="R944" s="369"/>
      <c r="S944" s="369"/>
      <c r="T944" s="369"/>
      <c r="U944" s="369"/>
      <c r="V944" s="369"/>
      <c r="W944" s="369"/>
      <c r="X944" s="369"/>
      <c r="Y944" s="369"/>
      <c r="Z944" s="369"/>
    </row>
    <row r="945" spans="1:26" ht="14.25" customHeight="1">
      <c r="A945" s="369"/>
      <c r="B945" s="369"/>
      <c r="C945" s="369"/>
      <c r="D945" s="369"/>
      <c r="E945" s="369"/>
      <c r="F945" s="369"/>
      <c r="G945" s="369"/>
      <c r="H945" s="370"/>
      <c r="I945" s="371"/>
      <c r="J945" s="371"/>
      <c r="K945" s="370"/>
      <c r="L945" s="369"/>
      <c r="M945" s="369"/>
      <c r="N945" s="369"/>
      <c r="O945" s="369"/>
      <c r="P945" s="369"/>
      <c r="Q945" s="369"/>
      <c r="R945" s="369"/>
      <c r="S945" s="369"/>
      <c r="T945" s="369"/>
      <c r="U945" s="369"/>
      <c r="V945" s="369"/>
      <c r="W945" s="369"/>
      <c r="X945" s="369"/>
      <c r="Y945" s="369"/>
      <c r="Z945" s="369"/>
    </row>
    <row r="946" spans="1:26" ht="14.25" customHeight="1">
      <c r="A946" s="369"/>
      <c r="B946" s="369"/>
      <c r="C946" s="369"/>
      <c r="D946" s="369"/>
      <c r="E946" s="369"/>
      <c r="F946" s="369"/>
      <c r="G946" s="369"/>
      <c r="H946" s="370"/>
      <c r="I946" s="371"/>
      <c r="J946" s="371"/>
      <c r="K946" s="370"/>
      <c r="L946" s="369"/>
      <c r="M946" s="369"/>
      <c r="N946" s="369"/>
      <c r="O946" s="369"/>
      <c r="P946" s="369"/>
      <c r="Q946" s="369"/>
      <c r="R946" s="369"/>
      <c r="S946" s="369"/>
      <c r="T946" s="369"/>
      <c r="U946" s="369"/>
      <c r="V946" s="369"/>
      <c r="W946" s="369"/>
      <c r="X946" s="369"/>
      <c r="Y946" s="369"/>
      <c r="Z946" s="369"/>
    </row>
    <row r="947" spans="1:26" ht="14.25" customHeight="1">
      <c r="A947" s="369"/>
      <c r="B947" s="369"/>
      <c r="C947" s="369"/>
      <c r="D947" s="369"/>
      <c r="E947" s="369"/>
      <c r="F947" s="369"/>
      <c r="G947" s="369"/>
      <c r="H947" s="370"/>
      <c r="I947" s="371"/>
      <c r="J947" s="371"/>
      <c r="K947" s="370"/>
      <c r="L947" s="369"/>
      <c r="M947" s="369"/>
      <c r="N947" s="369"/>
      <c r="O947" s="369"/>
      <c r="P947" s="369"/>
      <c r="Q947" s="369"/>
      <c r="R947" s="369"/>
      <c r="S947" s="369"/>
      <c r="T947" s="369"/>
      <c r="U947" s="369"/>
      <c r="V947" s="369"/>
      <c r="W947" s="369"/>
      <c r="X947" s="369"/>
      <c r="Y947" s="369"/>
      <c r="Z947" s="369"/>
    </row>
    <row r="948" spans="1:26" ht="14.25" customHeight="1">
      <c r="A948" s="369"/>
      <c r="B948" s="369"/>
      <c r="C948" s="369"/>
      <c r="D948" s="369"/>
      <c r="E948" s="369"/>
      <c r="F948" s="369"/>
      <c r="G948" s="369"/>
      <c r="H948" s="370"/>
      <c r="I948" s="371"/>
      <c r="J948" s="371"/>
      <c r="K948" s="370"/>
      <c r="L948" s="369"/>
      <c r="M948" s="369"/>
      <c r="N948" s="369"/>
      <c r="O948" s="369"/>
      <c r="P948" s="369"/>
      <c r="Q948" s="369"/>
      <c r="R948" s="369"/>
      <c r="S948" s="369"/>
      <c r="T948" s="369"/>
      <c r="U948" s="369"/>
      <c r="V948" s="369"/>
      <c r="W948" s="369"/>
      <c r="X948" s="369"/>
      <c r="Y948" s="369"/>
      <c r="Z948" s="369"/>
    </row>
    <row r="949" spans="1:26" ht="14.25" customHeight="1">
      <c r="A949" s="369"/>
      <c r="B949" s="369"/>
      <c r="C949" s="369"/>
      <c r="D949" s="369"/>
      <c r="E949" s="369"/>
      <c r="F949" s="369"/>
      <c r="G949" s="369"/>
      <c r="H949" s="370"/>
      <c r="I949" s="371"/>
      <c r="J949" s="371"/>
      <c r="K949" s="370"/>
      <c r="L949" s="369"/>
      <c r="M949" s="369"/>
      <c r="N949" s="369"/>
      <c r="O949" s="369"/>
      <c r="P949" s="369"/>
      <c r="Q949" s="369"/>
      <c r="R949" s="369"/>
      <c r="S949" s="369"/>
      <c r="T949" s="369"/>
      <c r="U949" s="369"/>
      <c r="V949" s="369"/>
      <c r="W949" s="369"/>
      <c r="X949" s="369"/>
      <c r="Y949" s="369"/>
      <c r="Z949" s="369"/>
    </row>
    <row r="950" spans="1:26" ht="14.25" customHeight="1">
      <c r="A950" s="369"/>
      <c r="B950" s="369"/>
      <c r="C950" s="369"/>
      <c r="D950" s="369"/>
      <c r="E950" s="369"/>
      <c r="F950" s="369"/>
      <c r="G950" s="369"/>
      <c r="H950" s="370"/>
      <c r="I950" s="371"/>
      <c r="J950" s="371"/>
      <c r="K950" s="370"/>
      <c r="L950" s="369"/>
      <c r="M950" s="369"/>
      <c r="N950" s="369"/>
      <c r="O950" s="369"/>
      <c r="P950" s="369"/>
      <c r="Q950" s="369"/>
      <c r="R950" s="369"/>
      <c r="S950" s="369"/>
      <c r="T950" s="369"/>
      <c r="U950" s="369"/>
      <c r="V950" s="369"/>
      <c r="W950" s="369"/>
      <c r="X950" s="369"/>
      <c r="Y950" s="369"/>
      <c r="Z950" s="369"/>
    </row>
    <row r="951" spans="1:26" ht="14.25" customHeight="1">
      <c r="A951" s="369"/>
      <c r="B951" s="369"/>
      <c r="C951" s="369"/>
      <c r="D951" s="369"/>
      <c r="E951" s="369"/>
      <c r="F951" s="369"/>
      <c r="G951" s="369"/>
      <c r="H951" s="370"/>
      <c r="I951" s="371"/>
      <c r="J951" s="371"/>
      <c r="K951" s="370"/>
      <c r="L951" s="369"/>
      <c r="M951" s="369"/>
      <c r="N951" s="369"/>
      <c r="O951" s="369"/>
      <c r="P951" s="369"/>
      <c r="Q951" s="369"/>
      <c r="R951" s="369"/>
      <c r="S951" s="369"/>
      <c r="T951" s="369"/>
      <c r="U951" s="369"/>
      <c r="V951" s="369"/>
      <c r="W951" s="369"/>
      <c r="X951" s="369"/>
      <c r="Y951" s="369"/>
      <c r="Z951" s="369"/>
    </row>
    <row r="952" spans="1:26" ht="14.25" customHeight="1">
      <c r="A952" s="369"/>
      <c r="B952" s="369"/>
      <c r="C952" s="369"/>
      <c r="D952" s="369"/>
      <c r="E952" s="369"/>
      <c r="F952" s="369"/>
      <c r="G952" s="369"/>
      <c r="H952" s="370"/>
      <c r="I952" s="371"/>
      <c r="J952" s="371"/>
      <c r="K952" s="370"/>
      <c r="L952" s="369"/>
      <c r="M952" s="369"/>
      <c r="N952" s="369"/>
      <c r="O952" s="369"/>
      <c r="P952" s="369"/>
      <c r="Q952" s="369"/>
      <c r="R952" s="369"/>
      <c r="S952" s="369"/>
      <c r="T952" s="369"/>
      <c r="U952" s="369"/>
      <c r="V952" s="369"/>
      <c r="W952" s="369"/>
      <c r="X952" s="369"/>
      <c r="Y952" s="369"/>
      <c r="Z952" s="369"/>
    </row>
    <row r="953" spans="1:26" ht="14.25" customHeight="1">
      <c r="A953" s="369"/>
      <c r="B953" s="369"/>
      <c r="C953" s="369"/>
      <c r="D953" s="369"/>
      <c r="E953" s="369"/>
      <c r="F953" s="369"/>
      <c r="G953" s="369"/>
      <c r="H953" s="370"/>
      <c r="I953" s="371"/>
      <c r="J953" s="371"/>
      <c r="K953" s="370"/>
      <c r="L953" s="369"/>
      <c r="M953" s="369"/>
      <c r="N953" s="369"/>
      <c r="O953" s="369"/>
      <c r="P953" s="369"/>
      <c r="Q953" s="369"/>
      <c r="R953" s="369"/>
      <c r="S953" s="369"/>
      <c r="T953" s="369"/>
      <c r="U953" s="369"/>
      <c r="V953" s="369"/>
      <c r="W953" s="369"/>
      <c r="X953" s="369"/>
      <c r="Y953" s="369"/>
      <c r="Z953" s="369"/>
    </row>
    <row r="954" spans="1:26" ht="14.25" customHeight="1">
      <c r="A954" s="369"/>
      <c r="B954" s="369"/>
      <c r="C954" s="369"/>
      <c r="D954" s="369"/>
      <c r="E954" s="369"/>
      <c r="F954" s="369"/>
      <c r="G954" s="369"/>
      <c r="H954" s="370"/>
      <c r="I954" s="371"/>
      <c r="J954" s="371"/>
      <c r="K954" s="370"/>
      <c r="L954" s="369"/>
      <c r="M954" s="369"/>
      <c r="N954" s="369"/>
      <c r="O954" s="369"/>
      <c r="P954" s="369"/>
      <c r="Q954" s="369"/>
      <c r="R954" s="369"/>
      <c r="S954" s="369"/>
      <c r="T954" s="369"/>
      <c r="U954" s="369"/>
      <c r="V954" s="369"/>
      <c r="W954" s="369"/>
      <c r="X954" s="369"/>
      <c r="Y954" s="369"/>
      <c r="Z954" s="369"/>
    </row>
    <row r="955" spans="1:26" ht="14.25" customHeight="1">
      <c r="A955" s="369"/>
      <c r="B955" s="369"/>
      <c r="C955" s="369"/>
      <c r="D955" s="369"/>
      <c r="E955" s="369"/>
      <c r="F955" s="369"/>
      <c r="G955" s="369"/>
      <c r="H955" s="370"/>
      <c r="I955" s="371"/>
      <c r="J955" s="371"/>
      <c r="K955" s="370"/>
      <c r="L955" s="369"/>
      <c r="M955" s="369"/>
      <c r="N955" s="369"/>
      <c r="O955" s="369"/>
      <c r="P955" s="369"/>
      <c r="Q955" s="369"/>
      <c r="R955" s="369"/>
      <c r="S955" s="369"/>
      <c r="T955" s="369"/>
      <c r="U955" s="369"/>
      <c r="V955" s="369"/>
      <c r="W955" s="369"/>
      <c r="X955" s="369"/>
      <c r="Y955" s="369"/>
      <c r="Z955" s="369"/>
    </row>
    <row r="956" spans="1:26" ht="14.25" customHeight="1">
      <c r="A956" s="369"/>
      <c r="B956" s="369"/>
      <c r="C956" s="369"/>
      <c r="D956" s="369"/>
      <c r="E956" s="369"/>
      <c r="F956" s="369"/>
      <c r="G956" s="369"/>
      <c r="H956" s="370"/>
      <c r="I956" s="371"/>
      <c r="J956" s="371"/>
      <c r="K956" s="370"/>
      <c r="L956" s="369"/>
      <c r="M956" s="369"/>
      <c r="N956" s="369"/>
      <c r="O956" s="369"/>
      <c r="P956" s="369"/>
      <c r="Q956" s="369"/>
      <c r="R956" s="369"/>
      <c r="S956" s="369"/>
      <c r="T956" s="369"/>
      <c r="U956" s="369"/>
      <c r="V956" s="369"/>
      <c r="W956" s="369"/>
      <c r="X956" s="369"/>
      <c r="Y956" s="369"/>
      <c r="Z956" s="369"/>
    </row>
    <row r="957" spans="1:26" ht="14.25" customHeight="1">
      <c r="A957" s="369"/>
      <c r="B957" s="369"/>
      <c r="C957" s="369"/>
      <c r="D957" s="369"/>
      <c r="E957" s="369"/>
      <c r="F957" s="369"/>
      <c r="G957" s="369"/>
      <c r="H957" s="370"/>
      <c r="I957" s="371"/>
      <c r="J957" s="371"/>
      <c r="K957" s="370"/>
      <c r="L957" s="369"/>
      <c r="M957" s="369"/>
      <c r="N957" s="369"/>
      <c r="O957" s="369"/>
      <c r="P957" s="369"/>
      <c r="Q957" s="369"/>
      <c r="R957" s="369"/>
      <c r="S957" s="369"/>
      <c r="T957" s="369"/>
      <c r="U957" s="369"/>
      <c r="V957" s="369"/>
      <c r="W957" s="369"/>
      <c r="X957" s="369"/>
      <c r="Y957" s="369"/>
      <c r="Z957" s="369"/>
    </row>
    <row r="958" spans="1:26" ht="14.25" customHeight="1">
      <c r="A958" s="369"/>
      <c r="B958" s="369"/>
      <c r="C958" s="369"/>
      <c r="D958" s="369"/>
      <c r="E958" s="369"/>
      <c r="F958" s="369"/>
      <c r="G958" s="369"/>
      <c r="H958" s="370"/>
      <c r="I958" s="371"/>
      <c r="J958" s="371"/>
      <c r="K958" s="370"/>
      <c r="L958" s="369"/>
      <c r="M958" s="369"/>
      <c r="N958" s="369"/>
      <c r="O958" s="369"/>
      <c r="P958" s="369"/>
      <c r="Q958" s="369"/>
      <c r="R958" s="369"/>
      <c r="S958" s="369"/>
      <c r="T958" s="369"/>
      <c r="U958" s="369"/>
      <c r="V958" s="369"/>
      <c r="W958" s="369"/>
      <c r="X958" s="369"/>
      <c r="Y958" s="369"/>
      <c r="Z958" s="369"/>
    </row>
    <row r="959" spans="1:26" ht="14.25" customHeight="1">
      <c r="A959" s="369"/>
      <c r="B959" s="369"/>
      <c r="C959" s="369"/>
      <c r="D959" s="369"/>
      <c r="E959" s="369"/>
      <c r="F959" s="369"/>
      <c r="G959" s="369"/>
      <c r="H959" s="370"/>
      <c r="I959" s="371"/>
      <c r="J959" s="371"/>
      <c r="K959" s="370"/>
      <c r="L959" s="369"/>
      <c r="M959" s="369"/>
      <c r="N959" s="369"/>
      <c r="O959" s="369"/>
      <c r="P959" s="369"/>
      <c r="Q959" s="369"/>
      <c r="R959" s="369"/>
      <c r="S959" s="369"/>
      <c r="T959" s="369"/>
      <c r="U959" s="369"/>
      <c r="V959" s="369"/>
      <c r="W959" s="369"/>
      <c r="X959" s="369"/>
      <c r="Y959" s="369"/>
      <c r="Z959" s="369"/>
    </row>
    <row r="960" spans="1:26" ht="14.25" customHeight="1">
      <c r="A960" s="369"/>
      <c r="B960" s="369"/>
      <c r="C960" s="369"/>
      <c r="D960" s="369"/>
      <c r="E960" s="369"/>
      <c r="F960" s="369"/>
      <c r="G960" s="369"/>
      <c r="H960" s="370"/>
      <c r="I960" s="371"/>
      <c r="J960" s="371"/>
      <c r="K960" s="370"/>
      <c r="L960" s="369"/>
      <c r="M960" s="369"/>
      <c r="N960" s="369"/>
      <c r="O960" s="369"/>
      <c r="P960" s="369"/>
      <c r="Q960" s="369"/>
      <c r="R960" s="369"/>
      <c r="S960" s="369"/>
      <c r="T960" s="369"/>
      <c r="U960" s="369"/>
      <c r="V960" s="369"/>
      <c r="W960" s="369"/>
      <c r="X960" s="369"/>
      <c r="Y960" s="369"/>
      <c r="Z960" s="369"/>
    </row>
    <row r="961" spans="1:26" ht="14.25" customHeight="1">
      <c r="A961" s="369"/>
      <c r="B961" s="369"/>
      <c r="C961" s="369"/>
      <c r="D961" s="369"/>
      <c r="E961" s="369"/>
      <c r="F961" s="369"/>
      <c r="G961" s="369"/>
      <c r="H961" s="370"/>
      <c r="I961" s="371"/>
      <c r="J961" s="371"/>
      <c r="K961" s="370"/>
      <c r="L961" s="369"/>
      <c r="M961" s="369"/>
      <c r="N961" s="369"/>
      <c r="O961" s="369"/>
      <c r="P961" s="369"/>
      <c r="Q961" s="369"/>
      <c r="R961" s="369"/>
      <c r="S961" s="369"/>
      <c r="T961" s="369"/>
      <c r="U961" s="369"/>
      <c r="V961" s="369"/>
      <c r="W961" s="369"/>
      <c r="X961" s="369"/>
      <c r="Y961" s="369"/>
      <c r="Z961" s="369"/>
    </row>
    <row r="962" spans="1:26" ht="14.25" customHeight="1">
      <c r="A962" s="369"/>
      <c r="B962" s="369"/>
      <c r="C962" s="369"/>
      <c r="D962" s="369"/>
      <c r="E962" s="369"/>
      <c r="F962" s="369"/>
      <c r="G962" s="369"/>
      <c r="H962" s="370"/>
      <c r="I962" s="371"/>
      <c r="J962" s="371"/>
      <c r="K962" s="370"/>
      <c r="L962" s="369"/>
      <c r="M962" s="369"/>
      <c r="N962" s="369"/>
      <c r="O962" s="369"/>
      <c r="P962" s="369"/>
      <c r="Q962" s="369"/>
      <c r="R962" s="369"/>
      <c r="S962" s="369"/>
      <c r="T962" s="369"/>
      <c r="U962" s="369"/>
      <c r="V962" s="369"/>
      <c r="W962" s="369"/>
      <c r="X962" s="369"/>
      <c r="Y962" s="369"/>
      <c r="Z962" s="369"/>
    </row>
    <row r="963" spans="1:26" ht="14.25" customHeight="1">
      <c r="A963" s="369"/>
      <c r="B963" s="369"/>
      <c r="C963" s="369"/>
      <c r="D963" s="369"/>
      <c r="E963" s="369"/>
      <c r="F963" s="369"/>
      <c r="G963" s="369"/>
      <c r="H963" s="370"/>
      <c r="I963" s="371"/>
      <c r="J963" s="371"/>
      <c r="K963" s="370"/>
      <c r="L963" s="369"/>
      <c r="M963" s="369"/>
      <c r="N963" s="369"/>
      <c r="O963" s="369"/>
      <c r="P963" s="369"/>
      <c r="Q963" s="369"/>
      <c r="R963" s="369"/>
      <c r="S963" s="369"/>
      <c r="T963" s="369"/>
      <c r="U963" s="369"/>
      <c r="V963" s="369"/>
      <c r="W963" s="369"/>
      <c r="X963" s="369"/>
      <c r="Y963" s="369"/>
      <c r="Z963" s="369"/>
    </row>
    <row r="964" spans="1:26" ht="14.25" customHeight="1">
      <c r="A964" s="369"/>
      <c r="B964" s="369"/>
      <c r="C964" s="369"/>
      <c r="D964" s="369"/>
      <c r="E964" s="369"/>
      <c r="F964" s="369"/>
      <c r="G964" s="369"/>
      <c r="H964" s="370"/>
      <c r="I964" s="371"/>
      <c r="J964" s="371"/>
      <c r="K964" s="370"/>
      <c r="L964" s="369"/>
      <c r="M964" s="369"/>
      <c r="N964" s="369"/>
      <c r="O964" s="369"/>
      <c r="P964" s="369"/>
      <c r="Q964" s="369"/>
      <c r="R964" s="369"/>
      <c r="S964" s="369"/>
      <c r="T964" s="369"/>
      <c r="U964" s="369"/>
      <c r="V964" s="369"/>
      <c r="W964" s="369"/>
      <c r="X964" s="369"/>
      <c r="Y964" s="369"/>
      <c r="Z964" s="369"/>
    </row>
    <row r="965" spans="1:26" ht="14.25" customHeight="1">
      <c r="A965" s="369"/>
      <c r="B965" s="369"/>
      <c r="C965" s="369"/>
      <c r="D965" s="369"/>
      <c r="E965" s="369"/>
      <c r="F965" s="369"/>
      <c r="G965" s="369"/>
      <c r="H965" s="370"/>
      <c r="I965" s="371"/>
      <c r="J965" s="371"/>
      <c r="K965" s="370"/>
      <c r="L965" s="369"/>
      <c r="M965" s="369"/>
      <c r="N965" s="369"/>
      <c r="O965" s="369"/>
      <c r="P965" s="369"/>
      <c r="Q965" s="369"/>
      <c r="R965" s="369"/>
      <c r="S965" s="369"/>
      <c r="T965" s="369"/>
      <c r="U965" s="369"/>
      <c r="V965" s="369"/>
      <c r="W965" s="369"/>
      <c r="X965" s="369"/>
      <c r="Y965" s="369"/>
      <c r="Z965" s="369"/>
    </row>
    <row r="966" spans="1:26" ht="14.25" customHeight="1">
      <c r="A966" s="369"/>
      <c r="B966" s="369"/>
      <c r="C966" s="369"/>
      <c r="D966" s="369"/>
      <c r="E966" s="369"/>
      <c r="F966" s="369"/>
      <c r="G966" s="369"/>
      <c r="H966" s="370"/>
      <c r="I966" s="371"/>
      <c r="J966" s="371"/>
      <c r="K966" s="370"/>
      <c r="L966" s="369"/>
      <c r="M966" s="369"/>
      <c r="N966" s="369"/>
      <c r="O966" s="369"/>
      <c r="P966" s="369"/>
      <c r="Q966" s="369"/>
      <c r="R966" s="369"/>
      <c r="S966" s="369"/>
      <c r="T966" s="369"/>
      <c r="U966" s="369"/>
      <c r="V966" s="369"/>
      <c r="W966" s="369"/>
      <c r="X966" s="369"/>
      <c r="Y966" s="369"/>
      <c r="Z966" s="369"/>
    </row>
    <row r="967" spans="1:26" ht="14.25" customHeight="1">
      <c r="A967" s="369"/>
      <c r="B967" s="369"/>
      <c r="C967" s="369"/>
      <c r="D967" s="369"/>
      <c r="E967" s="369"/>
      <c r="F967" s="369"/>
      <c r="G967" s="369"/>
      <c r="H967" s="370"/>
      <c r="I967" s="371"/>
      <c r="J967" s="371"/>
      <c r="K967" s="370"/>
      <c r="L967" s="369"/>
      <c r="M967" s="369"/>
      <c r="N967" s="369"/>
      <c r="O967" s="369"/>
      <c r="P967" s="369"/>
      <c r="Q967" s="369"/>
      <c r="R967" s="369"/>
      <c r="S967" s="369"/>
      <c r="T967" s="369"/>
      <c r="U967" s="369"/>
      <c r="V967" s="369"/>
      <c r="W967" s="369"/>
      <c r="X967" s="369"/>
      <c r="Y967" s="369"/>
      <c r="Z967" s="369"/>
    </row>
    <row r="968" spans="1:26" ht="14.25" customHeight="1">
      <c r="A968" s="369"/>
      <c r="B968" s="369"/>
      <c r="C968" s="369"/>
      <c r="D968" s="369"/>
      <c r="E968" s="369"/>
      <c r="F968" s="369"/>
      <c r="G968" s="369"/>
      <c r="H968" s="370"/>
      <c r="I968" s="371"/>
      <c r="J968" s="371"/>
      <c r="K968" s="370"/>
      <c r="L968" s="369"/>
      <c r="M968" s="369"/>
      <c r="N968" s="369"/>
      <c r="O968" s="369"/>
      <c r="P968" s="369"/>
      <c r="Q968" s="369"/>
      <c r="R968" s="369"/>
      <c r="S968" s="369"/>
      <c r="T968" s="369"/>
      <c r="U968" s="369"/>
      <c r="V968" s="369"/>
      <c r="W968" s="369"/>
      <c r="X968" s="369"/>
      <c r="Y968" s="369"/>
      <c r="Z968" s="369"/>
    </row>
    <row r="969" spans="1:26" ht="14.25" customHeight="1">
      <c r="A969" s="369"/>
      <c r="B969" s="369"/>
      <c r="C969" s="369"/>
      <c r="D969" s="369"/>
      <c r="E969" s="369"/>
      <c r="F969" s="369"/>
      <c r="G969" s="369"/>
      <c r="H969" s="370"/>
      <c r="I969" s="371"/>
      <c r="J969" s="371"/>
      <c r="K969" s="370"/>
      <c r="L969" s="369"/>
      <c r="M969" s="369"/>
      <c r="N969" s="369"/>
      <c r="O969" s="369"/>
      <c r="P969" s="369"/>
      <c r="Q969" s="369"/>
      <c r="R969" s="369"/>
      <c r="S969" s="369"/>
      <c r="T969" s="369"/>
      <c r="U969" s="369"/>
      <c r="V969" s="369"/>
      <c r="W969" s="369"/>
      <c r="X969" s="369"/>
      <c r="Y969" s="369"/>
      <c r="Z969" s="369"/>
    </row>
    <row r="970" spans="1:26" ht="14.25" customHeight="1">
      <c r="A970" s="369"/>
      <c r="B970" s="369"/>
      <c r="C970" s="369"/>
      <c r="D970" s="369"/>
      <c r="E970" s="369"/>
      <c r="F970" s="369"/>
      <c r="G970" s="369"/>
      <c r="H970" s="370"/>
      <c r="I970" s="371"/>
      <c r="J970" s="371"/>
      <c r="K970" s="370"/>
      <c r="L970" s="369"/>
      <c r="M970" s="369"/>
      <c r="N970" s="369"/>
      <c r="O970" s="369"/>
      <c r="P970" s="369"/>
      <c r="Q970" s="369"/>
      <c r="R970" s="369"/>
      <c r="S970" s="369"/>
      <c r="T970" s="369"/>
      <c r="U970" s="369"/>
      <c r="V970" s="369"/>
      <c r="W970" s="369"/>
      <c r="X970" s="369"/>
      <c r="Y970" s="369"/>
      <c r="Z970" s="369"/>
    </row>
    <row r="971" spans="1:26" ht="14.25" customHeight="1">
      <c r="A971" s="369"/>
      <c r="B971" s="369"/>
      <c r="C971" s="369"/>
      <c r="D971" s="369"/>
      <c r="E971" s="369"/>
      <c r="F971" s="369"/>
      <c r="G971" s="369"/>
      <c r="H971" s="370"/>
      <c r="I971" s="371"/>
      <c r="J971" s="371"/>
      <c r="K971" s="370"/>
      <c r="L971" s="369"/>
      <c r="M971" s="369"/>
      <c r="N971" s="369"/>
      <c r="O971" s="369"/>
      <c r="P971" s="369"/>
      <c r="Q971" s="369"/>
      <c r="R971" s="369"/>
      <c r="S971" s="369"/>
      <c r="T971" s="369"/>
      <c r="U971" s="369"/>
      <c r="V971" s="369"/>
      <c r="W971" s="369"/>
      <c r="X971" s="369"/>
      <c r="Y971" s="369"/>
      <c r="Z971" s="369"/>
    </row>
    <row r="972" spans="1:26" ht="14.25" customHeight="1">
      <c r="A972" s="369"/>
      <c r="B972" s="369"/>
      <c r="C972" s="369"/>
      <c r="D972" s="369"/>
      <c r="E972" s="369"/>
      <c r="F972" s="369"/>
      <c r="G972" s="369"/>
      <c r="H972" s="370"/>
      <c r="I972" s="371"/>
      <c r="J972" s="371"/>
      <c r="K972" s="370"/>
      <c r="L972" s="369"/>
      <c r="M972" s="369"/>
      <c r="N972" s="369"/>
      <c r="O972" s="369"/>
      <c r="P972" s="369"/>
      <c r="Q972" s="369"/>
      <c r="R972" s="369"/>
      <c r="S972" s="369"/>
      <c r="T972" s="369"/>
      <c r="U972" s="369"/>
      <c r="V972" s="369"/>
      <c r="W972" s="369"/>
      <c r="X972" s="369"/>
      <c r="Y972" s="369"/>
      <c r="Z972" s="369"/>
    </row>
    <row r="973" spans="1:26" ht="14.25" customHeight="1">
      <c r="A973" s="369"/>
      <c r="B973" s="369"/>
      <c r="C973" s="369"/>
      <c r="D973" s="369"/>
      <c r="E973" s="369"/>
      <c r="F973" s="369"/>
      <c r="G973" s="369"/>
      <c r="H973" s="370"/>
      <c r="I973" s="371"/>
      <c r="J973" s="371"/>
      <c r="K973" s="370"/>
      <c r="L973" s="369"/>
      <c r="M973" s="369"/>
      <c r="N973" s="369"/>
      <c r="O973" s="369"/>
      <c r="P973" s="369"/>
      <c r="Q973" s="369"/>
      <c r="R973" s="369"/>
      <c r="S973" s="369"/>
      <c r="T973" s="369"/>
      <c r="U973" s="369"/>
      <c r="V973" s="369"/>
      <c r="W973" s="369"/>
      <c r="X973" s="369"/>
      <c r="Y973" s="369"/>
      <c r="Z973" s="369"/>
    </row>
    <row r="974" spans="1:26" ht="14.25" customHeight="1">
      <c r="A974" s="369"/>
      <c r="B974" s="369"/>
      <c r="C974" s="369"/>
      <c r="D974" s="369"/>
      <c r="E974" s="369"/>
      <c r="F974" s="369"/>
      <c r="G974" s="369"/>
      <c r="H974" s="370"/>
      <c r="I974" s="371"/>
      <c r="J974" s="371"/>
      <c r="K974" s="370"/>
      <c r="L974" s="369"/>
      <c r="M974" s="369"/>
      <c r="N974" s="369"/>
      <c r="O974" s="369"/>
      <c r="P974" s="369"/>
      <c r="Q974" s="369"/>
      <c r="R974" s="369"/>
      <c r="S974" s="369"/>
      <c r="T974" s="369"/>
      <c r="U974" s="369"/>
      <c r="V974" s="369"/>
      <c r="W974" s="369"/>
      <c r="X974" s="369"/>
      <c r="Y974" s="369"/>
      <c r="Z974" s="369"/>
    </row>
    <row r="975" spans="1:26" ht="14.25" customHeight="1">
      <c r="A975" s="369"/>
      <c r="B975" s="369"/>
      <c r="C975" s="369"/>
      <c r="D975" s="369"/>
      <c r="E975" s="369"/>
      <c r="F975" s="369"/>
      <c r="G975" s="369"/>
      <c r="H975" s="370"/>
      <c r="I975" s="371"/>
      <c r="J975" s="371"/>
      <c r="K975" s="370"/>
      <c r="L975" s="369"/>
      <c r="M975" s="369"/>
      <c r="N975" s="369"/>
      <c r="O975" s="369"/>
      <c r="P975" s="369"/>
      <c r="Q975" s="369"/>
      <c r="R975" s="369"/>
      <c r="S975" s="369"/>
      <c r="T975" s="369"/>
      <c r="U975" s="369"/>
      <c r="V975" s="369"/>
      <c r="W975" s="369"/>
      <c r="X975" s="369"/>
      <c r="Y975" s="369"/>
      <c r="Z975" s="369"/>
    </row>
    <row r="976" spans="1:26" ht="14.25" customHeight="1">
      <c r="A976" s="369"/>
      <c r="B976" s="369"/>
      <c r="C976" s="369"/>
      <c r="D976" s="369"/>
      <c r="E976" s="369"/>
      <c r="F976" s="369"/>
      <c r="G976" s="369"/>
      <c r="H976" s="370"/>
      <c r="I976" s="371"/>
      <c r="J976" s="371"/>
      <c r="K976" s="370"/>
      <c r="L976" s="369"/>
      <c r="M976" s="369"/>
      <c r="N976" s="369"/>
      <c r="O976" s="369"/>
      <c r="P976" s="369"/>
      <c r="Q976" s="369"/>
      <c r="R976" s="369"/>
      <c r="S976" s="369"/>
      <c r="T976" s="369"/>
      <c r="U976" s="369"/>
      <c r="V976" s="369"/>
      <c r="W976" s="369"/>
      <c r="X976" s="369"/>
      <c r="Y976" s="369"/>
      <c r="Z976" s="369"/>
    </row>
    <row r="977" spans="1:26" ht="14.25" customHeight="1">
      <c r="A977" s="369"/>
      <c r="B977" s="369"/>
      <c r="C977" s="369"/>
      <c r="D977" s="369"/>
      <c r="E977" s="369"/>
      <c r="F977" s="369"/>
      <c r="G977" s="369"/>
      <c r="H977" s="370"/>
      <c r="I977" s="371"/>
      <c r="J977" s="371"/>
      <c r="K977" s="370"/>
      <c r="L977" s="369"/>
      <c r="M977" s="369"/>
      <c r="N977" s="369"/>
      <c r="O977" s="369"/>
      <c r="P977" s="369"/>
      <c r="Q977" s="369"/>
      <c r="R977" s="369"/>
      <c r="S977" s="369"/>
      <c r="T977" s="369"/>
      <c r="U977" s="369"/>
      <c r="V977" s="369"/>
      <c r="W977" s="369"/>
      <c r="X977" s="369"/>
      <c r="Y977" s="369"/>
      <c r="Z977" s="369"/>
    </row>
    <row r="978" spans="1:26" ht="14.25" customHeight="1">
      <c r="A978" s="369"/>
      <c r="B978" s="369"/>
      <c r="C978" s="369"/>
      <c r="D978" s="369"/>
      <c r="E978" s="369"/>
      <c r="F978" s="369"/>
      <c r="G978" s="369"/>
      <c r="H978" s="370"/>
      <c r="I978" s="371"/>
      <c r="J978" s="371"/>
      <c r="K978" s="370"/>
      <c r="L978" s="369"/>
      <c r="M978" s="369"/>
      <c r="N978" s="369"/>
      <c r="O978" s="369"/>
      <c r="P978" s="369"/>
      <c r="Q978" s="369"/>
      <c r="R978" s="369"/>
      <c r="S978" s="369"/>
      <c r="T978" s="369"/>
      <c r="U978" s="369"/>
      <c r="V978" s="369"/>
      <c r="W978" s="369"/>
      <c r="X978" s="369"/>
      <c r="Y978" s="369"/>
      <c r="Z978" s="369"/>
    </row>
    <row r="979" spans="1:26" ht="14.25" customHeight="1">
      <c r="A979" s="369"/>
      <c r="B979" s="369"/>
      <c r="C979" s="369"/>
      <c r="D979" s="369"/>
      <c r="E979" s="369"/>
      <c r="F979" s="369"/>
      <c r="G979" s="369"/>
      <c r="H979" s="370"/>
      <c r="I979" s="371"/>
      <c r="J979" s="371"/>
      <c r="K979" s="370"/>
      <c r="L979" s="369"/>
      <c r="M979" s="369"/>
      <c r="N979" s="369"/>
      <c r="O979" s="369"/>
      <c r="P979" s="369"/>
      <c r="Q979" s="369"/>
      <c r="R979" s="369"/>
      <c r="S979" s="369"/>
      <c r="T979" s="369"/>
      <c r="U979" s="369"/>
      <c r="V979" s="369"/>
      <c r="W979" s="369"/>
      <c r="X979" s="369"/>
      <c r="Y979" s="369"/>
      <c r="Z979" s="369"/>
    </row>
    <row r="980" spans="1:26" ht="14.25" customHeight="1">
      <c r="A980" s="369"/>
      <c r="B980" s="369"/>
      <c r="C980" s="369"/>
      <c r="D980" s="369"/>
      <c r="E980" s="369"/>
      <c r="F980" s="369"/>
      <c r="G980" s="369"/>
      <c r="H980" s="370"/>
      <c r="I980" s="371"/>
      <c r="J980" s="371"/>
      <c r="K980" s="370"/>
      <c r="L980" s="369"/>
      <c r="M980" s="369"/>
      <c r="N980" s="369"/>
      <c r="O980" s="369"/>
      <c r="P980" s="369"/>
      <c r="Q980" s="369"/>
      <c r="R980" s="369"/>
      <c r="S980" s="369"/>
      <c r="T980" s="369"/>
      <c r="U980" s="369"/>
      <c r="V980" s="369"/>
      <c r="W980" s="369"/>
      <c r="X980" s="369"/>
      <c r="Y980" s="369"/>
      <c r="Z980" s="369"/>
    </row>
    <row r="981" spans="1:26" ht="14.25" customHeight="1">
      <c r="A981" s="369"/>
      <c r="B981" s="369"/>
      <c r="C981" s="369"/>
      <c r="D981" s="369"/>
      <c r="E981" s="369"/>
      <c r="F981" s="369"/>
      <c r="G981" s="369"/>
      <c r="H981" s="370"/>
      <c r="I981" s="371"/>
      <c r="J981" s="371"/>
      <c r="K981" s="370"/>
      <c r="L981" s="369"/>
      <c r="M981" s="369"/>
      <c r="N981" s="369"/>
      <c r="O981" s="369"/>
      <c r="P981" s="369"/>
      <c r="Q981" s="369"/>
      <c r="R981" s="369"/>
      <c r="S981" s="369"/>
      <c r="T981" s="369"/>
      <c r="U981" s="369"/>
      <c r="V981" s="369"/>
      <c r="W981" s="369"/>
      <c r="X981" s="369"/>
      <c r="Y981" s="369"/>
      <c r="Z981" s="369"/>
    </row>
    <row r="982" spans="1:26" ht="14.25" customHeight="1">
      <c r="A982" s="369"/>
      <c r="B982" s="369"/>
      <c r="C982" s="369"/>
      <c r="D982" s="369"/>
      <c r="E982" s="369"/>
      <c r="F982" s="369"/>
      <c r="G982" s="369"/>
      <c r="H982" s="370"/>
      <c r="I982" s="371"/>
      <c r="J982" s="371"/>
      <c r="K982" s="370"/>
      <c r="L982" s="369"/>
      <c r="M982" s="369"/>
      <c r="N982" s="369"/>
      <c r="O982" s="369"/>
      <c r="P982" s="369"/>
      <c r="Q982" s="369"/>
      <c r="R982" s="369"/>
      <c r="S982" s="369"/>
      <c r="T982" s="369"/>
      <c r="U982" s="369"/>
      <c r="V982" s="369"/>
      <c r="W982" s="369"/>
      <c r="X982" s="369"/>
      <c r="Y982" s="369"/>
      <c r="Z982" s="369"/>
    </row>
    <row r="983" spans="1:26" ht="14.25" customHeight="1">
      <c r="A983" s="369"/>
      <c r="B983" s="369"/>
      <c r="C983" s="369"/>
      <c r="D983" s="369"/>
      <c r="E983" s="369"/>
      <c r="F983" s="369"/>
      <c r="G983" s="369"/>
      <c r="H983" s="370"/>
      <c r="I983" s="371"/>
      <c r="J983" s="371"/>
      <c r="K983" s="370"/>
      <c r="L983" s="369"/>
      <c r="M983" s="369"/>
      <c r="N983" s="369"/>
      <c r="O983" s="369"/>
      <c r="P983" s="369"/>
      <c r="Q983" s="369"/>
      <c r="R983" s="369"/>
      <c r="S983" s="369"/>
      <c r="T983" s="369"/>
      <c r="U983" s="369"/>
      <c r="V983" s="369"/>
      <c r="W983" s="369"/>
      <c r="X983" s="369"/>
      <c r="Y983" s="369"/>
      <c r="Z983" s="369"/>
    </row>
    <row r="984" spans="1:26" ht="14.25" customHeight="1">
      <c r="A984" s="369"/>
      <c r="B984" s="369"/>
      <c r="C984" s="369"/>
      <c r="D984" s="369"/>
      <c r="E984" s="369"/>
      <c r="F984" s="369"/>
      <c r="G984" s="369"/>
      <c r="H984" s="370"/>
      <c r="I984" s="371"/>
      <c r="J984" s="371"/>
      <c r="K984" s="370"/>
      <c r="L984" s="369"/>
      <c r="M984" s="369"/>
      <c r="N984" s="369"/>
      <c r="O984" s="369"/>
      <c r="P984" s="369"/>
      <c r="Q984" s="369"/>
      <c r="R984" s="369"/>
      <c r="S984" s="369"/>
      <c r="T984" s="369"/>
      <c r="U984" s="369"/>
      <c r="V984" s="369"/>
      <c r="W984" s="369"/>
      <c r="X984" s="369"/>
      <c r="Y984" s="369"/>
      <c r="Z984" s="369"/>
    </row>
    <row r="985" spans="1:26" ht="14.25" customHeight="1">
      <c r="A985" s="369"/>
      <c r="B985" s="369"/>
      <c r="C985" s="369"/>
      <c r="D985" s="369"/>
      <c r="E985" s="369"/>
      <c r="F985" s="369"/>
      <c r="G985" s="369"/>
      <c r="H985" s="370"/>
      <c r="I985" s="371"/>
      <c r="J985" s="371"/>
      <c r="K985" s="370"/>
      <c r="L985" s="369"/>
      <c r="M985" s="369"/>
      <c r="N985" s="369"/>
      <c r="O985" s="369"/>
      <c r="P985" s="369"/>
      <c r="Q985" s="369"/>
      <c r="R985" s="369"/>
      <c r="S985" s="369"/>
      <c r="T985" s="369"/>
      <c r="U985" s="369"/>
      <c r="V985" s="369"/>
      <c r="W985" s="369"/>
      <c r="X985" s="369"/>
      <c r="Y985" s="369"/>
      <c r="Z985" s="369"/>
    </row>
    <row r="986" spans="1:26" ht="14.25" customHeight="1">
      <c r="A986" s="369"/>
      <c r="B986" s="369"/>
      <c r="C986" s="369"/>
      <c r="D986" s="369"/>
      <c r="E986" s="369"/>
      <c r="F986" s="369"/>
      <c r="G986" s="369"/>
      <c r="H986" s="370"/>
      <c r="I986" s="371"/>
      <c r="J986" s="371"/>
      <c r="K986" s="370"/>
      <c r="L986" s="369"/>
      <c r="M986" s="369"/>
      <c r="N986" s="369"/>
      <c r="O986" s="369"/>
      <c r="P986" s="369"/>
      <c r="Q986" s="369"/>
      <c r="R986" s="369"/>
      <c r="S986" s="369"/>
      <c r="T986" s="369"/>
      <c r="U986" s="369"/>
      <c r="V986" s="369"/>
      <c r="W986" s="369"/>
      <c r="X986" s="369"/>
      <c r="Y986" s="369"/>
      <c r="Z986" s="369"/>
    </row>
    <row r="987" spans="1:26" ht="14.25" customHeight="1">
      <c r="A987" s="369"/>
      <c r="B987" s="369"/>
      <c r="C987" s="369"/>
      <c r="D987" s="369"/>
      <c r="E987" s="369"/>
      <c r="F987" s="369"/>
      <c r="G987" s="369"/>
      <c r="H987" s="370"/>
      <c r="I987" s="371"/>
      <c r="J987" s="371"/>
      <c r="K987" s="370"/>
      <c r="L987" s="369"/>
      <c r="M987" s="369"/>
      <c r="N987" s="369"/>
      <c r="O987" s="369"/>
      <c r="P987" s="369"/>
      <c r="Q987" s="369"/>
      <c r="R987" s="369"/>
      <c r="S987" s="369"/>
      <c r="T987" s="369"/>
      <c r="U987" s="369"/>
      <c r="V987" s="369"/>
      <c r="W987" s="369"/>
      <c r="X987" s="369"/>
      <c r="Y987" s="369"/>
      <c r="Z987" s="369"/>
    </row>
    <row r="988" spans="1:26" ht="14.25" customHeight="1">
      <c r="A988" s="369"/>
      <c r="B988" s="369"/>
      <c r="C988" s="369"/>
      <c r="D988" s="369"/>
      <c r="E988" s="369"/>
      <c r="F988" s="369"/>
      <c r="G988" s="369"/>
      <c r="H988" s="370"/>
      <c r="I988" s="371"/>
      <c r="J988" s="371"/>
      <c r="K988" s="370"/>
      <c r="L988" s="369"/>
      <c r="M988" s="369"/>
      <c r="N988" s="369"/>
      <c r="O988" s="369"/>
      <c r="P988" s="369"/>
      <c r="Q988" s="369"/>
      <c r="R988" s="369"/>
      <c r="S988" s="369"/>
      <c r="T988" s="369"/>
      <c r="U988" s="369"/>
      <c r="V988" s="369"/>
      <c r="W988" s="369"/>
      <c r="X988" s="369"/>
      <c r="Y988" s="369"/>
      <c r="Z988" s="369"/>
    </row>
    <row r="989" spans="1:26" ht="14.25" customHeight="1">
      <c r="A989" s="369"/>
      <c r="B989" s="369"/>
      <c r="C989" s="369"/>
      <c r="D989" s="369"/>
      <c r="E989" s="369"/>
      <c r="F989" s="369"/>
      <c r="G989" s="369"/>
      <c r="H989" s="370"/>
      <c r="I989" s="371"/>
      <c r="J989" s="371"/>
      <c r="K989" s="370"/>
      <c r="L989" s="369"/>
      <c r="M989" s="369"/>
      <c r="N989" s="369"/>
      <c r="O989" s="369"/>
      <c r="P989" s="369"/>
      <c r="Q989" s="369"/>
      <c r="R989" s="369"/>
      <c r="S989" s="369"/>
      <c r="T989" s="369"/>
      <c r="U989" s="369"/>
      <c r="V989" s="369"/>
      <c r="W989" s="369"/>
      <c r="X989" s="369"/>
      <c r="Y989" s="369"/>
      <c r="Z989" s="369"/>
    </row>
    <row r="990" spans="1:26" ht="14.25" customHeight="1">
      <c r="A990" s="369"/>
      <c r="B990" s="369"/>
      <c r="C990" s="369"/>
      <c r="D990" s="369"/>
      <c r="E990" s="369"/>
      <c r="F990" s="369"/>
      <c r="G990" s="369"/>
      <c r="H990" s="370"/>
      <c r="I990" s="371"/>
      <c r="J990" s="371"/>
      <c r="K990" s="370"/>
      <c r="L990" s="369"/>
      <c r="M990" s="369"/>
      <c r="N990" s="369"/>
      <c r="O990" s="369"/>
      <c r="P990" s="369"/>
      <c r="Q990" s="369"/>
      <c r="R990" s="369"/>
      <c r="S990" s="369"/>
      <c r="T990" s="369"/>
      <c r="U990" s="369"/>
      <c r="V990" s="369"/>
      <c r="W990" s="369"/>
      <c r="X990" s="369"/>
      <c r="Y990" s="369"/>
      <c r="Z990" s="369"/>
    </row>
    <row r="991" spans="1:26" ht="14.25" customHeight="1">
      <c r="A991" s="369"/>
      <c r="B991" s="369"/>
      <c r="C991" s="369"/>
      <c r="D991" s="369"/>
      <c r="E991" s="369"/>
      <c r="F991" s="369"/>
      <c r="G991" s="369"/>
      <c r="H991" s="370"/>
      <c r="I991" s="371"/>
      <c r="J991" s="371"/>
      <c r="K991" s="370"/>
      <c r="L991" s="369"/>
      <c r="M991" s="369"/>
      <c r="N991" s="369"/>
      <c r="O991" s="369"/>
      <c r="P991" s="369"/>
      <c r="Q991" s="369"/>
      <c r="R991" s="369"/>
      <c r="S991" s="369"/>
      <c r="T991" s="369"/>
      <c r="U991" s="369"/>
      <c r="V991" s="369"/>
      <c r="W991" s="369"/>
      <c r="X991" s="369"/>
      <c r="Y991" s="369"/>
      <c r="Z991" s="369"/>
    </row>
    <row r="992" spans="1:26" ht="14.25" customHeight="1">
      <c r="A992" s="369"/>
      <c r="B992" s="369"/>
      <c r="C992" s="369"/>
      <c r="D992" s="369"/>
      <c r="E992" s="369"/>
      <c r="F992" s="369"/>
      <c r="G992" s="369"/>
      <c r="H992" s="370"/>
      <c r="I992" s="371"/>
      <c r="J992" s="371"/>
      <c r="K992" s="370"/>
      <c r="L992" s="369"/>
      <c r="M992" s="369"/>
      <c r="N992" s="369"/>
      <c r="O992" s="369"/>
      <c r="P992" s="369"/>
      <c r="Q992" s="369"/>
      <c r="R992" s="369"/>
      <c r="S992" s="369"/>
      <c r="T992" s="369"/>
      <c r="U992" s="369"/>
      <c r="V992" s="369"/>
      <c r="W992" s="369"/>
      <c r="X992" s="369"/>
      <c r="Y992" s="369"/>
      <c r="Z992" s="369"/>
    </row>
    <row r="993" spans="1:26" ht="14.25" customHeight="1">
      <c r="A993" s="369"/>
      <c r="B993" s="369"/>
      <c r="C993" s="369"/>
      <c r="D993" s="369"/>
      <c r="E993" s="369"/>
      <c r="F993" s="369"/>
      <c r="G993" s="369"/>
      <c r="H993" s="370"/>
      <c r="I993" s="371"/>
      <c r="J993" s="371"/>
      <c r="K993" s="370"/>
      <c r="L993" s="369"/>
      <c r="M993" s="369"/>
      <c r="N993" s="369"/>
      <c r="O993" s="369"/>
      <c r="P993" s="369"/>
      <c r="Q993" s="369"/>
      <c r="R993" s="369"/>
      <c r="S993" s="369"/>
      <c r="T993" s="369"/>
      <c r="U993" s="369"/>
      <c r="V993" s="369"/>
      <c r="W993" s="369"/>
      <c r="X993" s="369"/>
      <c r="Y993" s="369"/>
      <c r="Z993" s="369"/>
    </row>
    <row r="994" spans="1:26" ht="14.25" customHeight="1">
      <c r="A994" s="369"/>
      <c r="B994" s="369"/>
      <c r="C994" s="369"/>
      <c r="D994" s="369"/>
      <c r="E994" s="369"/>
      <c r="F994" s="369"/>
      <c r="G994" s="369"/>
      <c r="H994" s="370"/>
      <c r="I994" s="371"/>
      <c r="J994" s="371"/>
      <c r="K994" s="370"/>
      <c r="L994" s="369"/>
      <c r="M994" s="369"/>
      <c r="N994" s="369"/>
      <c r="O994" s="369"/>
      <c r="P994" s="369"/>
      <c r="Q994" s="369"/>
      <c r="R994" s="369"/>
      <c r="S994" s="369"/>
      <c r="T994" s="369"/>
      <c r="U994" s="369"/>
      <c r="V994" s="369"/>
      <c r="W994" s="369"/>
      <c r="X994" s="369"/>
      <c r="Y994" s="369"/>
      <c r="Z994" s="369"/>
    </row>
    <row r="995" spans="1:26" ht="14.25" customHeight="1">
      <c r="A995" s="369"/>
      <c r="B995" s="369"/>
      <c r="C995" s="369"/>
      <c r="D995" s="369"/>
      <c r="E995" s="369"/>
      <c r="F995" s="369"/>
      <c r="G995" s="369"/>
      <c r="H995" s="370"/>
      <c r="I995" s="371"/>
      <c r="J995" s="371"/>
      <c r="K995" s="370"/>
      <c r="L995" s="369"/>
      <c r="M995" s="369"/>
      <c r="N995" s="369"/>
      <c r="O995" s="369"/>
      <c r="P995" s="369"/>
      <c r="Q995" s="369"/>
      <c r="R995" s="369"/>
      <c r="S995" s="369"/>
      <c r="T995" s="369"/>
      <c r="U995" s="369"/>
      <c r="V995" s="369"/>
      <c r="W995" s="369"/>
      <c r="X995" s="369"/>
      <c r="Y995" s="369"/>
      <c r="Z995" s="369"/>
    </row>
    <row r="996" spans="1:26" ht="14.25" customHeight="1">
      <c r="A996" s="369"/>
      <c r="B996" s="369"/>
      <c r="C996" s="369"/>
      <c r="D996" s="369"/>
      <c r="E996" s="369"/>
      <c r="F996" s="369"/>
      <c r="G996" s="369"/>
      <c r="H996" s="370"/>
      <c r="I996" s="371"/>
      <c r="J996" s="371"/>
      <c r="K996" s="370"/>
      <c r="L996" s="369"/>
      <c r="M996" s="369"/>
      <c r="N996" s="369"/>
      <c r="O996" s="369"/>
      <c r="P996" s="369"/>
      <c r="Q996" s="369"/>
      <c r="R996" s="369"/>
      <c r="S996" s="369"/>
      <c r="T996" s="369"/>
      <c r="U996" s="369"/>
      <c r="V996" s="369"/>
      <c r="W996" s="369"/>
      <c r="X996" s="369"/>
      <c r="Y996" s="369"/>
      <c r="Z996" s="369"/>
    </row>
    <row r="997" spans="1:26" ht="14.25" customHeight="1">
      <c r="A997" s="369"/>
      <c r="B997" s="369"/>
      <c r="C997" s="369"/>
      <c r="D997" s="369"/>
      <c r="E997" s="369"/>
      <c r="F997" s="369"/>
      <c r="G997" s="369"/>
      <c r="H997" s="370"/>
      <c r="I997" s="371"/>
      <c r="J997" s="371"/>
      <c r="K997" s="370"/>
      <c r="L997" s="369"/>
      <c r="M997" s="369"/>
      <c r="N997" s="369"/>
      <c r="O997" s="369"/>
      <c r="P997" s="369"/>
      <c r="Q997" s="369"/>
      <c r="R997" s="369"/>
      <c r="S997" s="369"/>
      <c r="T997" s="369"/>
      <c r="U997" s="369"/>
      <c r="V997" s="369"/>
      <c r="W997" s="369"/>
      <c r="X997" s="369"/>
      <c r="Y997" s="369"/>
      <c r="Z997" s="369"/>
    </row>
    <row r="998" spans="1:26" ht="14.25" customHeight="1">
      <c r="A998" s="369"/>
      <c r="B998" s="369"/>
      <c r="C998" s="369"/>
      <c r="D998" s="369"/>
      <c r="E998" s="369"/>
      <c r="F998" s="369"/>
      <c r="G998" s="369"/>
      <c r="H998" s="370"/>
      <c r="I998" s="371"/>
      <c r="J998" s="371"/>
      <c r="K998" s="370"/>
      <c r="L998" s="369"/>
      <c r="M998" s="369"/>
      <c r="N998" s="369"/>
      <c r="O998" s="369"/>
      <c r="P998" s="369"/>
      <c r="Q998" s="369"/>
      <c r="R998" s="369"/>
      <c r="S998" s="369"/>
      <c r="T998" s="369"/>
      <c r="U998" s="369"/>
      <c r="V998" s="369"/>
      <c r="W998" s="369"/>
      <c r="X998" s="369"/>
      <c r="Y998" s="369"/>
      <c r="Z998" s="369"/>
    </row>
    <row r="999" spans="1:26" ht="14.25" customHeight="1">
      <c r="A999" s="369"/>
      <c r="B999" s="369"/>
      <c r="C999" s="369"/>
      <c r="D999" s="369"/>
      <c r="E999" s="369"/>
      <c r="F999" s="369"/>
      <c r="G999" s="369"/>
      <c r="H999" s="370"/>
      <c r="I999" s="371"/>
      <c r="J999" s="371"/>
      <c r="K999" s="370"/>
      <c r="L999" s="369"/>
      <c r="M999" s="369"/>
      <c r="N999" s="369"/>
      <c r="O999" s="369"/>
      <c r="P999" s="369"/>
      <c r="Q999" s="369"/>
      <c r="R999" s="369"/>
      <c r="S999" s="369"/>
      <c r="T999" s="369"/>
      <c r="U999" s="369"/>
      <c r="V999" s="369"/>
      <c r="W999" s="369"/>
      <c r="X999" s="369"/>
      <c r="Y999" s="369"/>
      <c r="Z999" s="369"/>
    </row>
    <row r="1000" spans="1:26" ht="14.25" customHeight="1">
      <c r="A1000" s="369"/>
      <c r="B1000" s="369"/>
      <c r="C1000" s="369"/>
      <c r="D1000" s="369"/>
      <c r="E1000" s="369"/>
      <c r="F1000" s="369"/>
      <c r="G1000" s="369"/>
      <c r="H1000" s="370"/>
      <c r="I1000" s="371"/>
      <c r="J1000" s="371"/>
      <c r="K1000" s="370"/>
      <c r="L1000" s="369"/>
      <c r="M1000" s="369"/>
      <c r="N1000" s="369"/>
      <c r="O1000" s="369"/>
      <c r="P1000" s="369"/>
      <c r="Q1000" s="369"/>
      <c r="R1000" s="369"/>
      <c r="S1000" s="369"/>
      <c r="T1000" s="369"/>
      <c r="U1000" s="369"/>
      <c r="V1000" s="369"/>
      <c r="W1000" s="369"/>
      <c r="X1000" s="369"/>
      <c r="Y1000" s="369"/>
      <c r="Z1000" s="36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5C202-1AAC-4564-A38F-E2F38CEA5387}">
  <dimension ref="A2:L73"/>
  <sheetViews>
    <sheetView topLeftCell="A58" workbookViewId="0">
      <selection activeCell="K39" sqref="K39"/>
    </sheetView>
  </sheetViews>
  <sheetFormatPr defaultRowHeight="14.25"/>
  <cols>
    <col min="1" max="1" width="7.125" style="1" customWidth="1"/>
    <col min="2" max="2" width="6.875" customWidth="1"/>
    <col min="3" max="3" width="38.5" customWidth="1"/>
    <col min="4" max="4" width="11.625" customWidth="1"/>
    <col min="5" max="5" width="8.375" customWidth="1"/>
    <col min="6" max="6" width="6.875" customWidth="1"/>
    <col min="8" max="8" width="14" style="298" customWidth="1"/>
    <col min="9" max="9" width="13.125" style="298" bestFit="1" customWidth="1"/>
    <col min="10" max="10" width="9.375" bestFit="1" customWidth="1"/>
    <col min="11" max="11" width="13.125" bestFit="1" customWidth="1"/>
    <col min="12" max="12" width="11.375" bestFit="1" customWidth="1"/>
  </cols>
  <sheetData>
    <row r="2" spans="1:12">
      <c r="C2" s="329"/>
      <c r="D2" s="329" t="s">
        <v>16</v>
      </c>
      <c r="E2" s="329"/>
      <c r="F2" s="329"/>
      <c r="G2" s="340" t="s">
        <v>17</v>
      </c>
      <c r="H2" s="332"/>
      <c r="I2" s="342"/>
      <c r="J2" s="329"/>
      <c r="K2" s="329"/>
      <c r="L2" s="329"/>
    </row>
    <row r="3" spans="1:12">
      <c r="C3" s="330" t="s">
        <v>27</v>
      </c>
      <c r="D3" s="330" t="s">
        <v>34</v>
      </c>
      <c r="E3" s="330"/>
      <c r="F3" s="330"/>
      <c r="G3" s="341" t="s">
        <v>35</v>
      </c>
      <c r="H3" s="333" t="s">
        <v>1753</v>
      </c>
      <c r="I3" s="343" t="s">
        <v>1748</v>
      </c>
      <c r="J3" s="330" t="s">
        <v>1749</v>
      </c>
      <c r="K3" s="341" t="s">
        <v>1752</v>
      </c>
      <c r="L3" s="341" t="s">
        <v>1750</v>
      </c>
    </row>
    <row r="4" spans="1:12">
      <c r="C4" s="330"/>
      <c r="D4" s="330" t="s">
        <v>40</v>
      </c>
      <c r="E4" s="330"/>
      <c r="F4" s="330"/>
      <c r="G4" s="341" t="s">
        <v>12</v>
      </c>
      <c r="H4" s="333"/>
      <c r="I4" s="343"/>
      <c r="J4" s="331" t="s">
        <v>1751</v>
      </c>
      <c r="K4" s="331"/>
      <c r="L4" s="331"/>
    </row>
    <row r="5" spans="1:12">
      <c r="A5" s="334">
        <v>1</v>
      </c>
      <c r="B5" s="335" t="s">
        <v>1744</v>
      </c>
      <c r="C5" s="335" t="s">
        <v>726</v>
      </c>
      <c r="D5" s="335">
        <v>7000</v>
      </c>
      <c r="E5" s="335">
        <v>1</v>
      </c>
      <c r="F5" s="335" t="s">
        <v>728</v>
      </c>
      <c r="G5" s="351">
        <v>250</v>
      </c>
      <c r="H5" s="300">
        <v>1750000</v>
      </c>
      <c r="I5" s="300">
        <v>1107450</v>
      </c>
    </row>
    <row r="6" spans="1:12">
      <c r="A6" s="334">
        <v>2</v>
      </c>
      <c r="B6" s="335" t="s">
        <v>1744</v>
      </c>
      <c r="C6" s="335" t="s">
        <v>573</v>
      </c>
      <c r="D6" s="335">
        <v>1800</v>
      </c>
      <c r="E6" s="335">
        <v>1</v>
      </c>
      <c r="F6" s="335" t="s">
        <v>574</v>
      </c>
      <c r="G6" s="346">
        <f>966.21</f>
        <v>966.21</v>
      </c>
      <c r="H6" s="300">
        <v>1620000</v>
      </c>
      <c r="I6" s="300">
        <v>772968</v>
      </c>
      <c r="J6" s="344">
        <v>1270</v>
      </c>
      <c r="K6" s="345">
        <f>J6*800</f>
        <v>1016000</v>
      </c>
      <c r="L6" s="345">
        <f>(J6-G6)*800</f>
        <v>243031.99999999997</v>
      </c>
    </row>
    <row r="7" spans="1:12">
      <c r="A7" s="334">
        <v>3</v>
      </c>
      <c r="B7" s="335" t="s">
        <v>1744</v>
      </c>
      <c r="C7" s="336" t="s">
        <v>948</v>
      </c>
      <c r="D7" s="335">
        <v>13000</v>
      </c>
      <c r="E7" s="335">
        <v>1</v>
      </c>
      <c r="F7" s="335" t="s">
        <v>202</v>
      </c>
      <c r="G7" s="351">
        <v>78.11</v>
      </c>
      <c r="H7" s="300">
        <v>1015430</v>
      </c>
      <c r="I7" s="337">
        <v>720000</v>
      </c>
    </row>
    <row r="8" spans="1:12">
      <c r="A8" s="334">
        <v>4</v>
      </c>
      <c r="B8" s="335" t="s">
        <v>1744</v>
      </c>
      <c r="C8" s="355" t="s">
        <v>1232</v>
      </c>
      <c r="D8" s="355">
        <v>2000</v>
      </c>
      <c r="E8" s="355">
        <v>1000</v>
      </c>
      <c r="F8" s="355" t="s">
        <v>84</v>
      </c>
      <c r="G8" s="356">
        <v>481.5</v>
      </c>
      <c r="H8" s="357">
        <v>963000</v>
      </c>
      <c r="I8" s="357">
        <v>675000</v>
      </c>
    </row>
    <row r="9" spans="1:12">
      <c r="A9" s="334">
        <v>5</v>
      </c>
      <c r="B9" s="335" t="s">
        <v>1744</v>
      </c>
      <c r="C9" s="336" t="s">
        <v>1011</v>
      </c>
      <c r="D9" s="335">
        <v>9500</v>
      </c>
      <c r="E9" s="335">
        <v>1</v>
      </c>
      <c r="F9" s="335" t="s">
        <v>202</v>
      </c>
      <c r="G9" s="351">
        <v>78.11</v>
      </c>
      <c r="H9" s="300">
        <v>742045</v>
      </c>
      <c r="I9" s="337">
        <v>540000</v>
      </c>
    </row>
    <row r="10" spans="1:12">
      <c r="A10" s="334">
        <v>6</v>
      </c>
      <c r="B10" s="335" t="s">
        <v>1744</v>
      </c>
      <c r="C10" s="336" t="s">
        <v>890</v>
      </c>
      <c r="D10" s="335">
        <v>2700</v>
      </c>
      <c r="E10" s="335">
        <v>1000</v>
      </c>
      <c r="F10" s="335" t="s">
        <v>84</v>
      </c>
      <c r="G10" s="351">
        <v>250</v>
      </c>
      <c r="H10" s="300">
        <v>675000</v>
      </c>
      <c r="I10" s="337">
        <v>403200</v>
      </c>
    </row>
    <row r="11" spans="1:12">
      <c r="A11" s="334">
        <v>7</v>
      </c>
      <c r="B11" s="335" t="s">
        <v>1745</v>
      </c>
      <c r="C11" s="338" t="s">
        <v>874</v>
      </c>
      <c r="D11" s="338">
        <v>800</v>
      </c>
      <c r="E11" s="335">
        <v>1000</v>
      </c>
      <c r="F11" s="335" t="s">
        <v>84</v>
      </c>
      <c r="G11" s="352">
        <v>713</v>
      </c>
      <c r="H11" s="339">
        <v>570400</v>
      </c>
      <c r="I11" s="339">
        <v>390000</v>
      </c>
    </row>
    <row r="12" spans="1:12">
      <c r="A12" s="334">
        <v>8</v>
      </c>
      <c r="B12" s="335" t="s">
        <v>1744</v>
      </c>
      <c r="C12" s="338" t="s">
        <v>173</v>
      </c>
      <c r="D12" s="338">
        <v>1400</v>
      </c>
      <c r="E12" s="335">
        <v>1000</v>
      </c>
      <c r="F12" s="335" t="s">
        <v>84</v>
      </c>
      <c r="G12" s="352">
        <v>400</v>
      </c>
      <c r="H12" s="339">
        <v>560000</v>
      </c>
      <c r="I12" s="339">
        <v>385000</v>
      </c>
    </row>
    <row r="13" spans="1:12">
      <c r="A13" s="334">
        <v>9</v>
      </c>
      <c r="B13" s="335" t="s">
        <v>1744</v>
      </c>
      <c r="C13" s="335" t="s">
        <v>1209</v>
      </c>
      <c r="D13" s="335">
        <v>5000</v>
      </c>
      <c r="E13" s="335">
        <v>1</v>
      </c>
      <c r="F13" s="335" t="s">
        <v>52</v>
      </c>
      <c r="G13" s="351">
        <v>130</v>
      </c>
      <c r="H13" s="300">
        <v>650000</v>
      </c>
      <c r="I13" s="300">
        <v>345877.5</v>
      </c>
    </row>
    <row r="14" spans="1:12">
      <c r="A14" s="334">
        <v>10</v>
      </c>
      <c r="B14" s="335" t="s">
        <v>1744</v>
      </c>
      <c r="C14" s="338" t="s">
        <v>168</v>
      </c>
      <c r="D14" s="338">
        <v>900</v>
      </c>
      <c r="E14" s="335">
        <v>1000</v>
      </c>
      <c r="F14" s="335" t="s">
        <v>84</v>
      </c>
      <c r="G14" s="352">
        <v>700</v>
      </c>
      <c r="H14" s="339">
        <v>630000</v>
      </c>
      <c r="I14" s="339">
        <v>312975</v>
      </c>
    </row>
    <row r="15" spans="1:12">
      <c r="A15" s="334">
        <v>11</v>
      </c>
      <c r="B15" s="335" t="s">
        <v>1744</v>
      </c>
      <c r="C15" s="347" t="s">
        <v>1384</v>
      </c>
      <c r="D15" s="347">
        <v>1500</v>
      </c>
      <c r="E15" s="335">
        <v>1000</v>
      </c>
      <c r="F15" s="335" t="s">
        <v>84</v>
      </c>
      <c r="G15" s="353">
        <v>270</v>
      </c>
      <c r="H15" s="348">
        <v>405000</v>
      </c>
      <c r="I15" s="348">
        <v>294250</v>
      </c>
    </row>
    <row r="16" spans="1:12">
      <c r="A16" s="334">
        <v>12</v>
      </c>
      <c r="B16" s="335" t="s">
        <v>1744</v>
      </c>
      <c r="C16" s="338" t="s">
        <v>744</v>
      </c>
      <c r="D16" s="338">
        <v>1000</v>
      </c>
      <c r="E16" s="335">
        <v>1000</v>
      </c>
      <c r="F16" s="335" t="s">
        <v>84</v>
      </c>
      <c r="G16" s="352">
        <v>400</v>
      </c>
      <c r="H16" s="339">
        <v>400000</v>
      </c>
      <c r="I16" s="339">
        <v>230400</v>
      </c>
    </row>
    <row r="17" spans="1:9">
      <c r="A17" s="334">
        <v>13</v>
      </c>
      <c r="B17" s="335" t="s">
        <v>1744</v>
      </c>
      <c r="C17" s="355" t="s">
        <v>231</v>
      </c>
      <c r="D17" s="355">
        <v>240</v>
      </c>
      <c r="E17" s="355">
        <v>1000</v>
      </c>
      <c r="F17" s="355" t="s">
        <v>84</v>
      </c>
      <c r="G17" s="356">
        <v>1400</v>
      </c>
      <c r="H17" s="357">
        <v>336000</v>
      </c>
      <c r="I17" s="357">
        <v>178250</v>
      </c>
    </row>
    <row r="18" spans="1:9">
      <c r="A18" s="334">
        <v>14</v>
      </c>
      <c r="B18" s="335" t="s">
        <v>1744</v>
      </c>
      <c r="C18" s="335" t="s">
        <v>1020</v>
      </c>
      <c r="D18" s="335">
        <v>400</v>
      </c>
      <c r="E18" s="335">
        <v>1000</v>
      </c>
      <c r="F18" s="335" t="s">
        <v>185</v>
      </c>
      <c r="G18" s="351">
        <v>550</v>
      </c>
      <c r="H18" s="300">
        <v>220000</v>
      </c>
      <c r="I18" s="300">
        <v>165000</v>
      </c>
    </row>
    <row r="19" spans="1:9">
      <c r="A19" s="334">
        <v>15</v>
      </c>
      <c r="B19" s="335" t="s">
        <v>1744</v>
      </c>
      <c r="C19" s="336" t="s">
        <v>681</v>
      </c>
      <c r="D19" s="336">
        <v>2000</v>
      </c>
      <c r="E19" s="335">
        <v>1000</v>
      </c>
      <c r="F19" s="335" t="s">
        <v>84</v>
      </c>
      <c r="G19" s="354">
        <v>150</v>
      </c>
      <c r="H19" s="337">
        <v>300000</v>
      </c>
      <c r="I19" s="337">
        <v>156000</v>
      </c>
    </row>
    <row r="20" spans="1:9">
      <c r="A20" s="334">
        <v>16</v>
      </c>
      <c r="B20" s="335" t="s">
        <v>1744</v>
      </c>
      <c r="C20" s="335" t="s">
        <v>284</v>
      </c>
      <c r="D20" s="335">
        <v>470</v>
      </c>
      <c r="E20" s="335">
        <v>1000</v>
      </c>
      <c r="F20" s="335" t="s">
        <v>84</v>
      </c>
      <c r="G20" s="351">
        <v>500</v>
      </c>
      <c r="H20" s="300">
        <v>235000</v>
      </c>
      <c r="I20" s="300">
        <v>150442</v>
      </c>
    </row>
    <row r="21" spans="1:9">
      <c r="A21" s="334">
        <v>17</v>
      </c>
      <c r="B21" s="335" t="s">
        <v>1744</v>
      </c>
      <c r="C21" s="335" t="s">
        <v>646</v>
      </c>
      <c r="D21" s="335">
        <v>1000</v>
      </c>
      <c r="E21" s="335">
        <v>1000</v>
      </c>
      <c r="F21" s="335" t="s">
        <v>84</v>
      </c>
      <c r="G21" s="351">
        <v>200</v>
      </c>
      <c r="H21" s="300">
        <v>200000</v>
      </c>
      <c r="I21" s="300">
        <v>150000</v>
      </c>
    </row>
    <row r="22" spans="1:9">
      <c r="A22" s="334">
        <v>18</v>
      </c>
      <c r="B22" s="335" t="s">
        <v>1744</v>
      </c>
      <c r="C22" s="335" t="s">
        <v>622</v>
      </c>
      <c r="D22" s="335">
        <v>800</v>
      </c>
      <c r="E22" s="335">
        <v>1000</v>
      </c>
      <c r="F22" s="335" t="s">
        <v>84</v>
      </c>
      <c r="G22" s="351">
        <v>220</v>
      </c>
      <c r="H22" s="300">
        <v>176000</v>
      </c>
      <c r="I22" s="300">
        <v>114800</v>
      </c>
    </row>
    <row r="23" spans="1:9">
      <c r="A23" s="334">
        <v>19</v>
      </c>
      <c r="B23" s="335" t="s">
        <v>1744</v>
      </c>
      <c r="C23" s="338" t="s">
        <v>562</v>
      </c>
      <c r="D23" s="338">
        <v>1380</v>
      </c>
      <c r="E23" s="335">
        <v>1000</v>
      </c>
      <c r="F23" s="335" t="s">
        <v>84</v>
      </c>
      <c r="G23" s="352">
        <v>180</v>
      </c>
      <c r="H23" s="339">
        <v>248400</v>
      </c>
      <c r="I23" s="339">
        <v>108800</v>
      </c>
    </row>
    <row r="24" spans="1:9">
      <c r="A24" s="334">
        <v>20</v>
      </c>
      <c r="B24" s="335" t="s">
        <v>1744</v>
      </c>
      <c r="C24" s="335" t="s">
        <v>1236</v>
      </c>
      <c r="D24" s="335">
        <v>700</v>
      </c>
      <c r="E24" s="335">
        <v>1000</v>
      </c>
      <c r="F24" s="335" t="s">
        <v>84</v>
      </c>
      <c r="G24" s="351">
        <v>194</v>
      </c>
      <c r="H24" s="300">
        <v>135800</v>
      </c>
      <c r="I24" s="300">
        <v>105600</v>
      </c>
    </row>
    <row r="25" spans="1:9">
      <c r="A25" s="334">
        <v>21</v>
      </c>
      <c r="B25" s="335" t="s">
        <v>1744</v>
      </c>
      <c r="C25" s="335" t="s">
        <v>146</v>
      </c>
      <c r="D25" s="335">
        <v>220</v>
      </c>
      <c r="E25" s="335">
        <v>1000</v>
      </c>
      <c r="F25" s="335" t="s">
        <v>84</v>
      </c>
      <c r="G25" s="351">
        <v>600</v>
      </c>
      <c r="H25" s="300">
        <v>132000</v>
      </c>
      <c r="I25" s="300">
        <v>85000</v>
      </c>
    </row>
    <row r="26" spans="1:9">
      <c r="A26" s="334">
        <v>22</v>
      </c>
      <c r="B26" s="335" t="s">
        <v>1744</v>
      </c>
      <c r="C26" s="335" t="s">
        <v>1127</v>
      </c>
      <c r="D26" s="335">
        <v>180</v>
      </c>
      <c r="E26" s="335">
        <v>1000</v>
      </c>
      <c r="F26" s="335" t="s">
        <v>84</v>
      </c>
      <c r="G26" s="351">
        <v>570</v>
      </c>
      <c r="H26" s="300">
        <v>102600</v>
      </c>
      <c r="I26" s="300">
        <v>79394</v>
      </c>
    </row>
    <row r="27" spans="1:9">
      <c r="A27" s="334">
        <v>23</v>
      </c>
      <c r="B27" s="335" t="s">
        <v>1744</v>
      </c>
      <c r="C27" s="336" t="s">
        <v>1108</v>
      </c>
      <c r="D27" s="336">
        <v>1600</v>
      </c>
      <c r="E27" s="335">
        <v>100</v>
      </c>
      <c r="F27" s="335" t="s">
        <v>84</v>
      </c>
      <c r="G27" s="354">
        <v>60</v>
      </c>
      <c r="H27" s="337">
        <v>96000</v>
      </c>
      <c r="I27" s="337">
        <v>67600</v>
      </c>
    </row>
    <row r="28" spans="1:9">
      <c r="A28" s="334">
        <v>24</v>
      </c>
      <c r="B28" s="335" t="s">
        <v>1744</v>
      </c>
      <c r="C28" s="336" t="s">
        <v>943</v>
      </c>
      <c r="D28" s="336">
        <v>900</v>
      </c>
      <c r="E28" s="335">
        <v>1</v>
      </c>
      <c r="F28" s="335" t="s">
        <v>202</v>
      </c>
      <c r="G28" s="354">
        <v>80</v>
      </c>
      <c r="H28" s="337">
        <v>72000</v>
      </c>
      <c r="I28" s="337">
        <v>63700</v>
      </c>
    </row>
    <row r="29" spans="1:9">
      <c r="A29" s="334">
        <v>25</v>
      </c>
      <c r="B29" s="335" t="s">
        <v>1744</v>
      </c>
      <c r="C29" s="335" t="s">
        <v>271</v>
      </c>
      <c r="D29" s="335">
        <v>1100</v>
      </c>
      <c r="E29" s="335">
        <v>1</v>
      </c>
      <c r="F29" s="335" t="s">
        <v>52</v>
      </c>
      <c r="G29" s="351">
        <v>87.63</v>
      </c>
      <c r="H29" s="300">
        <v>96393</v>
      </c>
      <c r="I29" s="300">
        <v>62595</v>
      </c>
    </row>
    <row r="30" spans="1:9">
      <c r="A30" s="334">
        <v>26</v>
      </c>
      <c r="B30" s="335" t="s">
        <v>1744</v>
      </c>
      <c r="C30" s="335" t="s">
        <v>374</v>
      </c>
      <c r="D30" s="335">
        <v>40</v>
      </c>
      <c r="E30" s="335">
        <v>1000</v>
      </c>
      <c r="F30" s="335" t="s">
        <v>84</v>
      </c>
      <c r="G30" s="351">
        <v>3000</v>
      </c>
      <c r="H30" s="300">
        <v>120000</v>
      </c>
      <c r="I30" s="300">
        <v>60000</v>
      </c>
    </row>
    <row r="31" spans="1:9">
      <c r="A31" s="334">
        <v>27</v>
      </c>
      <c r="B31" s="335" t="s">
        <v>1744</v>
      </c>
      <c r="C31" s="335" t="s">
        <v>223</v>
      </c>
      <c r="D31" s="335">
        <v>600</v>
      </c>
      <c r="E31" s="335">
        <v>1000</v>
      </c>
      <c r="F31" s="335" t="s">
        <v>84</v>
      </c>
      <c r="G31" s="351">
        <v>150</v>
      </c>
      <c r="H31" s="300">
        <v>90000</v>
      </c>
      <c r="I31" s="300">
        <v>56496</v>
      </c>
    </row>
    <row r="32" spans="1:9">
      <c r="A32" s="334">
        <v>28</v>
      </c>
      <c r="B32" s="335" t="s">
        <v>1744</v>
      </c>
      <c r="C32" s="335" t="s">
        <v>1295</v>
      </c>
      <c r="D32" s="335">
        <v>75</v>
      </c>
      <c r="E32" s="335">
        <v>1000</v>
      </c>
      <c r="F32" s="335" t="s">
        <v>84</v>
      </c>
      <c r="G32" s="351">
        <v>900</v>
      </c>
      <c r="H32" s="300">
        <v>67500</v>
      </c>
      <c r="I32" s="300">
        <v>53928</v>
      </c>
    </row>
    <row r="33" spans="1:9">
      <c r="A33" s="334">
        <v>29</v>
      </c>
      <c r="B33" s="335" t="s">
        <v>1744</v>
      </c>
      <c r="C33" s="338" t="s">
        <v>558</v>
      </c>
      <c r="D33" s="338">
        <v>220</v>
      </c>
      <c r="E33" s="335">
        <v>1000</v>
      </c>
      <c r="F33" s="335" t="s">
        <v>84</v>
      </c>
      <c r="G33" s="352">
        <v>350</v>
      </c>
      <c r="H33" s="339">
        <v>77000</v>
      </c>
      <c r="I33" s="339">
        <v>51200</v>
      </c>
    </row>
    <row r="34" spans="1:9">
      <c r="A34" s="334">
        <v>30</v>
      </c>
      <c r="B34" s="335" t="s">
        <v>1744</v>
      </c>
      <c r="C34" s="338" t="s">
        <v>304</v>
      </c>
      <c r="D34" s="338">
        <v>310</v>
      </c>
      <c r="E34" s="335">
        <v>100</v>
      </c>
      <c r="F34" s="335" t="s">
        <v>84</v>
      </c>
      <c r="G34" s="352">
        <v>192.6</v>
      </c>
      <c r="H34" s="339">
        <v>59706</v>
      </c>
      <c r="I34" s="339">
        <v>48150</v>
      </c>
    </row>
    <row r="35" spans="1:9">
      <c r="B35" t="s">
        <v>1744</v>
      </c>
      <c r="C35" t="s">
        <v>1193</v>
      </c>
      <c r="D35">
        <v>2000</v>
      </c>
      <c r="G35">
        <v>45.62</v>
      </c>
      <c r="H35" s="298">
        <v>91240</v>
      </c>
      <c r="I35" s="298">
        <v>43800</v>
      </c>
    </row>
    <row r="36" spans="1:9">
      <c r="B36" t="s">
        <v>1744</v>
      </c>
      <c r="C36" t="s">
        <v>901</v>
      </c>
      <c r="D36">
        <v>45</v>
      </c>
      <c r="G36">
        <v>1498</v>
      </c>
      <c r="H36" s="298">
        <v>67410</v>
      </c>
      <c r="I36" s="298">
        <v>43470</v>
      </c>
    </row>
    <row r="37" spans="1:9">
      <c r="B37" t="s">
        <v>1744</v>
      </c>
      <c r="C37" t="s">
        <v>1243</v>
      </c>
      <c r="D37">
        <v>150</v>
      </c>
      <c r="G37">
        <v>480</v>
      </c>
      <c r="H37" s="298">
        <v>72000</v>
      </c>
      <c r="I37" s="298">
        <v>39600</v>
      </c>
    </row>
    <row r="38" spans="1:9">
      <c r="B38" t="s">
        <v>1744</v>
      </c>
      <c r="C38" t="s">
        <v>1400</v>
      </c>
      <c r="D38">
        <v>320</v>
      </c>
      <c r="G38">
        <v>160</v>
      </c>
      <c r="H38" s="298">
        <v>51200</v>
      </c>
      <c r="I38" s="298">
        <v>38160</v>
      </c>
    </row>
    <row r="39" spans="1:9">
      <c r="B39" t="s">
        <v>1744</v>
      </c>
      <c r="C39" t="s">
        <v>1404</v>
      </c>
      <c r="D39">
        <v>250</v>
      </c>
      <c r="G39">
        <v>210</v>
      </c>
      <c r="H39" s="298">
        <v>52500</v>
      </c>
      <c r="I39" s="298">
        <v>38000</v>
      </c>
    </row>
    <row r="40" spans="1:9">
      <c r="B40" t="s">
        <v>1744</v>
      </c>
      <c r="C40" t="s">
        <v>820</v>
      </c>
      <c r="D40">
        <v>1300</v>
      </c>
      <c r="G40">
        <v>58.85</v>
      </c>
      <c r="H40" s="298">
        <v>76505</v>
      </c>
      <c r="I40" s="298">
        <v>37670</v>
      </c>
    </row>
    <row r="41" spans="1:9">
      <c r="B41" t="s">
        <v>1744</v>
      </c>
      <c r="C41" t="s">
        <v>663</v>
      </c>
      <c r="D41">
        <v>140</v>
      </c>
      <c r="G41">
        <v>350</v>
      </c>
      <c r="H41" s="298">
        <v>49000</v>
      </c>
      <c r="I41" s="298">
        <v>35000</v>
      </c>
    </row>
    <row r="42" spans="1:9">
      <c r="B42" t="s">
        <v>1744</v>
      </c>
      <c r="C42" t="s">
        <v>1007</v>
      </c>
      <c r="D42">
        <v>200</v>
      </c>
      <c r="G42">
        <v>80</v>
      </c>
      <c r="H42" s="298">
        <v>16000</v>
      </c>
      <c r="I42" s="298">
        <v>31244</v>
      </c>
    </row>
    <row r="43" spans="1:9">
      <c r="B43" t="s">
        <v>1744</v>
      </c>
      <c r="C43" t="s">
        <v>673</v>
      </c>
      <c r="D43">
        <v>100</v>
      </c>
      <c r="G43">
        <v>700</v>
      </c>
      <c r="H43" s="298">
        <v>70000</v>
      </c>
      <c r="I43" s="298">
        <v>30000</v>
      </c>
    </row>
    <row r="44" spans="1:9">
      <c r="B44" t="s">
        <v>1744</v>
      </c>
      <c r="C44" t="s">
        <v>894</v>
      </c>
      <c r="D44">
        <v>80</v>
      </c>
      <c r="G44">
        <v>700.22</v>
      </c>
      <c r="H44" s="298">
        <v>56017.600000000006</v>
      </c>
      <c r="I44" s="298">
        <v>27200</v>
      </c>
    </row>
    <row r="45" spans="1:9">
      <c r="B45" t="s">
        <v>1744</v>
      </c>
      <c r="C45" t="s">
        <v>1369</v>
      </c>
      <c r="D45">
        <v>30</v>
      </c>
      <c r="G45">
        <v>1000</v>
      </c>
      <c r="H45" s="298">
        <v>30000</v>
      </c>
      <c r="I45" s="298">
        <v>26400</v>
      </c>
    </row>
    <row r="46" spans="1:9">
      <c r="B46" t="s">
        <v>1744</v>
      </c>
      <c r="C46" t="s">
        <v>1408</v>
      </c>
      <c r="D46">
        <v>110</v>
      </c>
      <c r="G46">
        <v>240</v>
      </c>
      <c r="H46" s="298">
        <v>26400</v>
      </c>
      <c r="I46" s="298">
        <v>26400</v>
      </c>
    </row>
    <row r="47" spans="1:9">
      <c r="B47" t="s">
        <v>1744</v>
      </c>
      <c r="C47" t="s">
        <v>410</v>
      </c>
      <c r="D47">
        <v>170</v>
      </c>
      <c r="G47">
        <v>320</v>
      </c>
      <c r="H47" s="298">
        <v>54400</v>
      </c>
      <c r="I47" s="298">
        <v>22680</v>
      </c>
    </row>
    <row r="48" spans="1:9">
      <c r="B48" t="s">
        <v>1744</v>
      </c>
      <c r="C48" t="s">
        <v>666</v>
      </c>
      <c r="D48">
        <v>150</v>
      </c>
      <c r="G48">
        <v>200</v>
      </c>
      <c r="H48" s="298">
        <v>30000</v>
      </c>
      <c r="I48" s="298">
        <v>22560</v>
      </c>
    </row>
    <row r="49" spans="2:9">
      <c r="B49" t="s">
        <v>1744</v>
      </c>
      <c r="C49" t="s">
        <v>861</v>
      </c>
      <c r="D49">
        <v>150</v>
      </c>
      <c r="G49">
        <v>340</v>
      </c>
      <c r="H49" s="298">
        <v>51000</v>
      </c>
      <c r="I49" s="298">
        <v>22400</v>
      </c>
    </row>
    <row r="50" spans="2:9">
      <c r="B50" t="s">
        <v>1744</v>
      </c>
      <c r="C50" t="s">
        <v>805</v>
      </c>
      <c r="D50">
        <v>60</v>
      </c>
      <c r="G50">
        <v>540</v>
      </c>
      <c r="H50" s="298">
        <v>32400</v>
      </c>
      <c r="I50" s="298">
        <v>21600</v>
      </c>
    </row>
    <row r="51" spans="2:9">
      <c r="B51" t="s">
        <v>1745</v>
      </c>
      <c r="C51" t="s">
        <v>838</v>
      </c>
      <c r="D51">
        <v>75</v>
      </c>
      <c r="G51">
        <v>400</v>
      </c>
      <c r="H51" s="298">
        <v>30000</v>
      </c>
      <c r="I51" s="298">
        <v>21000</v>
      </c>
    </row>
    <row r="52" spans="2:9">
      <c r="B52" t="s">
        <v>1744</v>
      </c>
      <c r="C52" t="s">
        <v>227</v>
      </c>
      <c r="D52">
        <v>150</v>
      </c>
      <c r="G52">
        <v>200</v>
      </c>
      <c r="H52" s="298">
        <v>30000</v>
      </c>
      <c r="I52" s="298">
        <v>18960</v>
      </c>
    </row>
    <row r="53" spans="2:9">
      <c r="B53" t="s">
        <v>1744</v>
      </c>
      <c r="C53" t="s">
        <v>921</v>
      </c>
      <c r="D53">
        <v>60</v>
      </c>
      <c r="G53">
        <v>650</v>
      </c>
      <c r="H53" s="298">
        <v>39000</v>
      </c>
      <c r="I53" s="298">
        <v>17550</v>
      </c>
    </row>
    <row r="54" spans="2:9">
      <c r="B54" t="s">
        <v>1744</v>
      </c>
      <c r="C54" t="s">
        <v>723</v>
      </c>
      <c r="D54">
        <v>160</v>
      </c>
      <c r="G54">
        <v>190</v>
      </c>
      <c r="H54" s="298">
        <v>30400</v>
      </c>
      <c r="I54" s="298">
        <v>14400</v>
      </c>
    </row>
    <row r="55" spans="2:9">
      <c r="B55" t="s">
        <v>1744</v>
      </c>
      <c r="C55" t="s">
        <v>1472</v>
      </c>
      <c r="D55">
        <v>90</v>
      </c>
      <c r="G55">
        <v>321</v>
      </c>
      <c r="H55" s="298">
        <v>28890</v>
      </c>
      <c r="I55" s="298">
        <v>9630</v>
      </c>
    </row>
    <row r="56" spans="2:9">
      <c r="B56" t="s">
        <v>1744</v>
      </c>
      <c r="C56" s="335" t="s">
        <v>1489</v>
      </c>
      <c r="D56" s="335">
        <v>270</v>
      </c>
      <c r="E56" s="335">
        <v>100</v>
      </c>
      <c r="F56" s="335" t="s">
        <v>84</v>
      </c>
      <c r="G56" s="335">
        <v>100</v>
      </c>
      <c r="H56" s="300">
        <v>27000</v>
      </c>
      <c r="I56" s="300">
        <v>9000</v>
      </c>
    </row>
    <row r="57" spans="2:9">
      <c r="B57" t="s">
        <v>1745</v>
      </c>
      <c r="C57" t="s">
        <v>1136</v>
      </c>
      <c r="D57">
        <v>60</v>
      </c>
      <c r="G57">
        <v>250</v>
      </c>
      <c r="H57" s="298">
        <v>15000</v>
      </c>
      <c r="I57" s="298">
        <v>5000</v>
      </c>
    </row>
    <row r="58" spans="2:9">
      <c r="B58" t="s">
        <v>1744</v>
      </c>
      <c r="C58" t="s">
        <v>1493</v>
      </c>
      <c r="D58">
        <v>20</v>
      </c>
      <c r="G58">
        <v>194</v>
      </c>
      <c r="H58" s="298">
        <v>3880</v>
      </c>
      <c r="I58" s="298">
        <v>3900</v>
      </c>
    </row>
    <row r="59" spans="2:9">
      <c r="B59" t="s">
        <v>1744</v>
      </c>
      <c r="C59" t="s">
        <v>1481</v>
      </c>
      <c r="D59">
        <v>80</v>
      </c>
      <c r="G59">
        <v>55</v>
      </c>
      <c r="H59" s="298">
        <v>4400</v>
      </c>
      <c r="I59" s="298">
        <v>2054.4</v>
      </c>
    </row>
    <row r="60" spans="2:9">
      <c r="B60" t="s">
        <v>1744</v>
      </c>
      <c r="C60" t="s">
        <v>219</v>
      </c>
      <c r="D60">
        <v>2</v>
      </c>
      <c r="G60">
        <v>480</v>
      </c>
      <c r="H60" s="298">
        <v>960</v>
      </c>
      <c r="I60" s="298">
        <v>958.72</v>
      </c>
    </row>
    <row r="61" spans="2:9">
      <c r="B61" t="s">
        <v>1744</v>
      </c>
      <c r="C61" t="s">
        <v>151</v>
      </c>
      <c r="D61">
        <v>6</v>
      </c>
      <c r="G61">
        <v>450</v>
      </c>
      <c r="H61" s="298">
        <v>2700</v>
      </c>
      <c r="I61" s="298">
        <v>0</v>
      </c>
    </row>
    <row r="62" spans="2:9">
      <c r="B62" t="s">
        <v>1744</v>
      </c>
      <c r="C62" t="s">
        <v>1449</v>
      </c>
      <c r="D62">
        <v>0</v>
      </c>
      <c r="G62">
        <v>110</v>
      </c>
      <c r="H62" s="298">
        <v>0</v>
      </c>
      <c r="I62" s="298">
        <v>0</v>
      </c>
    </row>
    <row r="63" spans="2:9">
      <c r="B63" t="s">
        <v>1744</v>
      </c>
      <c r="C63" t="s">
        <v>1453</v>
      </c>
      <c r="D63">
        <v>60</v>
      </c>
      <c r="G63">
        <v>662.33</v>
      </c>
      <c r="H63" s="298">
        <v>39739.800000000003</v>
      </c>
      <c r="I63" s="298">
        <v>0</v>
      </c>
    </row>
    <row r="64" spans="2:9">
      <c r="B64" t="s">
        <v>1744</v>
      </c>
      <c r="C64" t="s">
        <v>1475</v>
      </c>
      <c r="D64">
        <v>40</v>
      </c>
      <c r="G64">
        <v>500</v>
      </c>
      <c r="H64" s="298">
        <v>20000</v>
      </c>
      <c r="I64" s="298">
        <v>0</v>
      </c>
    </row>
    <row r="66" spans="2:9">
      <c r="B66" t="s">
        <v>1746</v>
      </c>
      <c r="C66" t="s">
        <v>1508</v>
      </c>
      <c r="D66">
        <v>290</v>
      </c>
      <c r="G66">
        <v>192.6</v>
      </c>
      <c r="H66" s="298">
        <v>55854</v>
      </c>
      <c r="I66" s="298">
        <v>36594</v>
      </c>
    </row>
    <row r="67" spans="2:9">
      <c r="B67" t="s">
        <v>1746</v>
      </c>
      <c r="C67" t="s">
        <v>1512</v>
      </c>
      <c r="D67">
        <v>420</v>
      </c>
      <c r="G67">
        <v>102</v>
      </c>
      <c r="H67" s="298">
        <v>42840</v>
      </c>
      <c r="I67" s="298">
        <v>24480</v>
      </c>
    </row>
    <row r="68" spans="2:9">
      <c r="B68" t="s">
        <v>1746</v>
      </c>
      <c r="C68" t="s">
        <v>1518</v>
      </c>
      <c r="D68">
        <v>190</v>
      </c>
      <c r="G68">
        <v>192.6</v>
      </c>
      <c r="H68" s="298">
        <v>36594</v>
      </c>
      <c r="I68" s="298">
        <v>26964</v>
      </c>
    </row>
    <row r="69" spans="2:9">
      <c r="B69" t="s">
        <v>1746</v>
      </c>
      <c r="C69" t="s">
        <v>1505</v>
      </c>
      <c r="D69">
        <v>250</v>
      </c>
      <c r="G69">
        <v>95.23</v>
      </c>
      <c r="H69" s="298">
        <v>23807.5</v>
      </c>
      <c r="I69" s="298">
        <v>23807.5</v>
      </c>
    </row>
    <row r="70" spans="2:9">
      <c r="B70" t="s">
        <v>1746</v>
      </c>
      <c r="C70" t="s">
        <v>1311</v>
      </c>
      <c r="D70">
        <v>300</v>
      </c>
      <c r="G70">
        <v>52.01</v>
      </c>
      <c r="H70" s="298">
        <v>15603</v>
      </c>
      <c r="I70" s="298">
        <v>4000</v>
      </c>
    </row>
    <row r="71" spans="2:9">
      <c r="B71" t="s">
        <v>1746</v>
      </c>
      <c r="C71" t="s">
        <v>1532</v>
      </c>
      <c r="D71">
        <v>360</v>
      </c>
      <c r="G71">
        <v>14</v>
      </c>
      <c r="H71" s="298">
        <v>5040</v>
      </c>
      <c r="I71" s="298">
        <v>1680</v>
      </c>
    </row>
    <row r="72" spans="2:9">
      <c r="B72" t="s">
        <v>1746</v>
      </c>
      <c r="C72" t="s">
        <v>1104</v>
      </c>
      <c r="D72">
        <v>25</v>
      </c>
      <c r="G72">
        <v>68.48</v>
      </c>
      <c r="H72" s="298">
        <v>1712</v>
      </c>
      <c r="I72" s="298">
        <v>304.95</v>
      </c>
    </row>
    <row r="73" spans="2:9">
      <c r="H73" s="299">
        <f>SUM(H66:H72)</f>
        <v>181450.5</v>
      </c>
      <c r="I73" s="299">
        <f>SUM(I66:I72)</f>
        <v>117830.45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0342D-8A9A-4E50-BEB7-FD278EC10040}">
  <dimension ref="B3:D28"/>
  <sheetViews>
    <sheetView topLeftCell="A19" workbookViewId="0">
      <selection activeCell="C34" sqref="C34"/>
    </sheetView>
  </sheetViews>
  <sheetFormatPr defaultRowHeight="14.25"/>
  <cols>
    <col min="2" max="2" width="17.5" customWidth="1"/>
    <col min="3" max="3" width="17" style="1" customWidth="1"/>
    <col min="4" max="4" width="16.125" style="1" customWidth="1"/>
  </cols>
  <sheetData>
    <row r="3" spans="2:4">
      <c r="C3" s="1" t="s">
        <v>5</v>
      </c>
      <c r="D3" s="1" t="s">
        <v>6</v>
      </c>
    </row>
    <row r="4" spans="2:4">
      <c r="B4" t="s">
        <v>0</v>
      </c>
      <c r="C4" s="2">
        <v>90900</v>
      </c>
      <c r="D4" s="2">
        <v>318150</v>
      </c>
    </row>
    <row r="5" spans="2:4">
      <c r="B5" t="s">
        <v>1</v>
      </c>
      <c r="C5" s="2">
        <v>651900</v>
      </c>
      <c r="D5" s="2">
        <v>453396</v>
      </c>
    </row>
    <row r="6" spans="2:4">
      <c r="B6" t="s">
        <v>2</v>
      </c>
      <c r="C6" s="2">
        <v>9500</v>
      </c>
      <c r="D6" s="2">
        <v>9500</v>
      </c>
    </row>
    <row r="26" spans="2:4">
      <c r="C26" s="1" t="s">
        <v>5</v>
      </c>
      <c r="D26" s="1" t="s">
        <v>6</v>
      </c>
    </row>
    <row r="27" spans="2:4">
      <c r="B27" t="s">
        <v>3</v>
      </c>
      <c r="C27" s="2">
        <v>1438000</v>
      </c>
      <c r="D27" s="2">
        <v>647100</v>
      </c>
    </row>
    <row r="28" spans="2:4">
      <c r="B28" t="s">
        <v>4</v>
      </c>
      <c r="C28" s="2">
        <v>146800</v>
      </c>
      <c r="D28" s="2">
        <v>168844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AE888-DA52-44DE-9764-AE5D3356CE53}">
  <dimension ref="B1:D36"/>
  <sheetViews>
    <sheetView tabSelected="1" topLeftCell="A22" workbookViewId="0">
      <selection activeCell="H28" sqref="H28"/>
    </sheetView>
  </sheetViews>
  <sheetFormatPr defaultRowHeight="14.25"/>
  <cols>
    <col min="2" max="2" width="48.25" customWidth="1"/>
    <col min="3" max="3" width="12.125" style="298" customWidth="1"/>
    <col min="4" max="4" width="13.5" style="298" customWidth="1"/>
  </cols>
  <sheetData>
    <row r="1" spans="2:4" ht="26.25">
      <c r="B1" s="316" t="s">
        <v>1435</v>
      </c>
      <c r="C1" s="300" t="s">
        <v>1753</v>
      </c>
      <c r="D1" s="300" t="s">
        <v>1741</v>
      </c>
    </row>
    <row r="2" spans="2:4" ht="26.25">
      <c r="B2" s="313" t="s">
        <v>1508</v>
      </c>
      <c r="C2" s="300">
        <v>36594</v>
      </c>
      <c r="D2" s="300">
        <v>27927</v>
      </c>
    </row>
    <row r="3" spans="2:4" ht="26.25">
      <c r="B3" s="313" t="s">
        <v>1498</v>
      </c>
      <c r="C3" s="300">
        <v>8000</v>
      </c>
      <c r="D3" s="300">
        <v>19780</v>
      </c>
    </row>
    <row r="4" spans="2:4" ht="26.25">
      <c r="B4" s="314" t="s">
        <v>1505</v>
      </c>
      <c r="C4" s="300">
        <v>23807.5</v>
      </c>
      <c r="D4" s="300">
        <v>17427.09</v>
      </c>
    </row>
    <row r="5" spans="2:4" ht="26.25">
      <c r="B5" s="313" t="s">
        <v>1512</v>
      </c>
      <c r="C5" s="300">
        <v>24480</v>
      </c>
      <c r="D5" s="300">
        <v>16880</v>
      </c>
    </row>
    <row r="6" spans="2:4" ht="26.25">
      <c r="B6" s="313" t="s">
        <v>1518</v>
      </c>
      <c r="C6" s="300">
        <v>26964</v>
      </c>
      <c r="D6" s="300">
        <v>12519</v>
      </c>
    </row>
    <row r="7" spans="2:4" ht="26.25">
      <c r="B7" s="314" t="s">
        <v>1485</v>
      </c>
      <c r="C7" s="300">
        <v>0</v>
      </c>
      <c r="D7" s="300">
        <v>9500</v>
      </c>
    </row>
    <row r="8" spans="2:4" ht="26.25">
      <c r="B8" s="313" t="s">
        <v>1489</v>
      </c>
      <c r="C8" s="300">
        <v>9000</v>
      </c>
      <c r="D8" s="300">
        <v>9500</v>
      </c>
    </row>
    <row r="9" spans="2:4" ht="26.25">
      <c r="B9" s="313" t="s">
        <v>1472</v>
      </c>
      <c r="C9" s="300">
        <v>9630</v>
      </c>
      <c r="D9" s="300">
        <v>7704</v>
      </c>
    </row>
    <row r="10" spans="2:4" ht="26.25">
      <c r="B10" s="314" t="s">
        <v>1493</v>
      </c>
      <c r="C10" s="300">
        <v>3900</v>
      </c>
      <c r="D10" s="300">
        <v>6596</v>
      </c>
    </row>
    <row r="11" spans="2:4" ht="26.25">
      <c r="B11" s="314" t="s">
        <v>1445</v>
      </c>
      <c r="C11" s="300">
        <v>5700</v>
      </c>
      <c r="D11" s="300">
        <v>5415</v>
      </c>
    </row>
    <row r="12" spans="2:4" ht="26.25">
      <c r="B12" s="314" t="s">
        <v>1458</v>
      </c>
      <c r="C12" s="300">
        <v>3924</v>
      </c>
      <c r="D12" s="300">
        <v>5014</v>
      </c>
    </row>
    <row r="13" spans="2:4" ht="26.25">
      <c r="B13" s="314" t="s">
        <v>1502</v>
      </c>
      <c r="C13" s="300">
        <v>1786.9</v>
      </c>
      <c r="D13" s="300">
        <v>2295.15</v>
      </c>
    </row>
    <row r="14" spans="2:4" ht="26.25">
      <c r="B14" s="314" t="s">
        <v>1481</v>
      </c>
      <c r="C14" s="300">
        <v>2054.4</v>
      </c>
      <c r="D14" s="300">
        <v>2208.48</v>
      </c>
    </row>
    <row r="15" spans="2:4" ht="26.25">
      <c r="B15" s="314" t="s">
        <v>1710</v>
      </c>
      <c r="C15" s="300">
        <v>1605</v>
      </c>
      <c r="D15" s="300">
        <v>1605</v>
      </c>
    </row>
    <row r="16" spans="2:4" ht="26.25">
      <c r="B16" s="314" t="s">
        <v>1495</v>
      </c>
      <c r="C16" s="300">
        <v>3531</v>
      </c>
      <c r="D16" s="300">
        <v>1070</v>
      </c>
    </row>
    <row r="17" spans="2:4" ht="26.25">
      <c r="B17" s="314" t="s">
        <v>1520</v>
      </c>
      <c r="C17" s="300">
        <v>671.1</v>
      </c>
      <c r="D17" s="300">
        <v>671</v>
      </c>
    </row>
    <row r="18" spans="2:4" ht="26.25">
      <c r="B18" s="314" t="s">
        <v>1532</v>
      </c>
      <c r="C18" s="300">
        <v>1680</v>
      </c>
      <c r="D18" s="300">
        <v>560</v>
      </c>
    </row>
    <row r="19" spans="2:4" ht="26.25">
      <c r="B19" s="314" t="s">
        <v>1535</v>
      </c>
      <c r="C19" s="300">
        <v>385.2</v>
      </c>
      <c r="D19" s="300">
        <v>385.2</v>
      </c>
    </row>
    <row r="20" spans="2:4" ht="26.25">
      <c r="B20" s="314" t="s">
        <v>1468</v>
      </c>
      <c r="C20" s="300">
        <v>2320</v>
      </c>
      <c r="D20" s="300">
        <v>348</v>
      </c>
    </row>
    <row r="21" spans="2:4" ht="26.25">
      <c r="B21" s="315" t="s">
        <v>1438</v>
      </c>
      <c r="C21" s="300">
        <v>0</v>
      </c>
      <c r="D21" s="300">
        <v>157</v>
      </c>
    </row>
    <row r="22" spans="2:4" ht="26.25">
      <c r="B22" s="314" t="s">
        <v>1442</v>
      </c>
      <c r="C22" s="300">
        <v>0</v>
      </c>
      <c r="D22" s="300">
        <v>0</v>
      </c>
    </row>
    <row r="23" spans="2:4" ht="26.25">
      <c r="B23" s="314" t="s">
        <v>1461</v>
      </c>
      <c r="C23" s="300">
        <v>0</v>
      </c>
      <c r="D23" s="300">
        <v>0</v>
      </c>
    </row>
    <row r="24" spans="2:4" ht="26.25">
      <c r="B24" s="315" t="s">
        <v>1464</v>
      </c>
      <c r="C24" s="300">
        <v>0</v>
      </c>
      <c r="D24" s="300">
        <v>0</v>
      </c>
    </row>
    <row r="25" spans="2:4" ht="26.25">
      <c r="B25" s="314" t="s">
        <v>1487</v>
      </c>
      <c r="C25" s="300">
        <v>0</v>
      </c>
      <c r="D25" s="300">
        <v>0</v>
      </c>
    </row>
    <row r="26" spans="2:4" ht="26.25">
      <c r="B26" s="314" t="s">
        <v>1515</v>
      </c>
      <c r="C26" s="300">
        <v>1740</v>
      </c>
      <c r="D26" s="300">
        <v>0</v>
      </c>
    </row>
    <row r="27" spans="2:4" ht="26.25">
      <c r="B27" s="314" t="s">
        <v>1523</v>
      </c>
      <c r="C27" s="300">
        <v>0</v>
      </c>
      <c r="D27" s="300">
        <v>0</v>
      </c>
    </row>
    <row r="28" spans="2:4" ht="26.25">
      <c r="B28" s="314" t="s">
        <v>1526</v>
      </c>
      <c r="C28" s="300">
        <v>246.1</v>
      </c>
      <c r="D28" s="300">
        <v>0</v>
      </c>
    </row>
    <row r="29" spans="2:4" ht="26.25">
      <c r="B29" s="314" t="s">
        <v>1529</v>
      </c>
      <c r="C29" s="300">
        <v>3091.2</v>
      </c>
      <c r="D29" s="300">
        <v>0</v>
      </c>
    </row>
    <row r="30" spans="2:4" ht="26.25">
      <c r="B30" s="314" t="s">
        <v>1707</v>
      </c>
      <c r="C30" s="300">
        <v>0</v>
      </c>
      <c r="D30" s="300">
        <v>0</v>
      </c>
    </row>
    <row r="31" spans="2:4" ht="26.25">
      <c r="B31" s="315" t="s">
        <v>1449</v>
      </c>
      <c r="C31" s="300">
        <v>0</v>
      </c>
      <c r="D31" s="300"/>
    </row>
    <row r="32" spans="2:4" ht="26.25">
      <c r="B32" s="315" t="s">
        <v>1453</v>
      </c>
      <c r="C32" s="300">
        <v>0</v>
      </c>
      <c r="D32" s="300"/>
    </row>
    <row r="33" spans="2:4" ht="26.25">
      <c r="B33" s="315" t="s">
        <v>1475</v>
      </c>
      <c r="C33" s="300">
        <v>0</v>
      </c>
      <c r="D33" s="300"/>
    </row>
    <row r="34" spans="2:4" ht="26.25">
      <c r="B34" s="314" t="s">
        <v>1491</v>
      </c>
      <c r="C34" s="300">
        <v>0</v>
      </c>
      <c r="D34" s="300"/>
    </row>
    <row r="35" spans="2:4">
      <c r="C35" s="299">
        <f>SUM(C2:C34)</f>
        <v>171110.40000000002</v>
      </c>
      <c r="D35" s="299">
        <f>SUM(D2:D34)</f>
        <v>147561.92000000001</v>
      </c>
    </row>
    <row r="36" spans="2:4">
      <c r="C36" s="424" t="s">
        <v>1753</v>
      </c>
      <c r="D36" s="424" t="s">
        <v>1741</v>
      </c>
    </row>
  </sheetData>
  <sortState xmlns:xlrd2="http://schemas.microsoft.com/office/spreadsheetml/2017/richdata2" ref="B2:D34">
    <sortCondition descending="1" ref="D2:D3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472D1-CCD8-48A0-8798-8D11482881B6}">
  <dimension ref="A2:F400"/>
  <sheetViews>
    <sheetView workbookViewId="0">
      <selection activeCell="I33" sqref="I33"/>
    </sheetView>
  </sheetViews>
  <sheetFormatPr defaultRowHeight="14.25"/>
  <cols>
    <col min="1" max="1" width="9" style="1"/>
    <col min="2" max="2" width="36.125" customWidth="1"/>
    <col min="3" max="3" width="11.375" customWidth="1"/>
    <col min="5" max="5" width="14.125" style="298" bestFit="1" customWidth="1"/>
    <col min="6" max="6" width="11.375" style="298" bestFit="1" customWidth="1"/>
  </cols>
  <sheetData>
    <row r="2" spans="1:6">
      <c r="B2" s="340"/>
      <c r="C2" s="329" t="s">
        <v>16</v>
      </c>
      <c r="D2" s="340" t="s">
        <v>17</v>
      </c>
      <c r="E2" s="349"/>
      <c r="F2" s="332"/>
    </row>
    <row r="3" spans="1:6">
      <c r="B3" s="341" t="s">
        <v>27</v>
      </c>
      <c r="C3" s="330" t="s">
        <v>34</v>
      </c>
      <c r="D3" s="341" t="s">
        <v>35</v>
      </c>
      <c r="E3" s="350" t="s">
        <v>36</v>
      </c>
      <c r="F3" s="333" t="s">
        <v>1747</v>
      </c>
    </row>
    <row r="4" spans="1:6">
      <c r="B4" s="330"/>
      <c r="C4" s="330" t="s">
        <v>40</v>
      </c>
      <c r="D4" s="341" t="s">
        <v>12</v>
      </c>
      <c r="E4" s="350"/>
      <c r="F4" s="333"/>
    </row>
    <row r="5" spans="1:6">
      <c r="A5" s="334">
        <v>1</v>
      </c>
      <c r="B5" s="335" t="s">
        <v>56</v>
      </c>
      <c r="C5" s="335">
        <v>16000</v>
      </c>
      <c r="D5" s="335">
        <v>30</v>
      </c>
      <c r="E5" s="300">
        <v>480000</v>
      </c>
      <c r="F5" s="300">
        <v>454000</v>
      </c>
    </row>
    <row r="6" spans="1:6">
      <c r="A6" s="334">
        <v>2</v>
      </c>
      <c r="B6" s="335" t="s">
        <v>50</v>
      </c>
      <c r="C6" s="335">
        <v>48000</v>
      </c>
      <c r="D6" s="335">
        <v>16.05</v>
      </c>
      <c r="E6" s="300">
        <v>770400</v>
      </c>
      <c r="F6" s="300">
        <v>331199.99999999994</v>
      </c>
    </row>
    <row r="7" spans="1:6">
      <c r="A7" s="334">
        <v>3</v>
      </c>
      <c r="B7" s="335" t="s">
        <v>313</v>
      </c>
      <c r="C7" s="335">
        <v>15000</v>
      </c>
      <c r="D7" s="335">
        <v>20</v>
      </c>
      <c r="E7" s="300">
        <v>300000</v>
      </c>
      <c r="F7" s="300">
        <v>229836</v>
      </c>
    </row>
    <row r="8" spans="1:6">
      <c r="A8" s="334">
        <v>4</v>
      </c>
      <c r="B8" s="335" t="s">
        <v>596</v>
      </c>
      <c r="C8" s="335">
        <v>120</v>
      </c>
      <c r="D8" s="335">
        <v>1829.7</v>
      </c>
      <c r="E8" s="300">
        <v>219564</v>
      </c>
      <c r="F8" s="300">
        <v>164673</v>
      </c>
    </row>
    <row r="9" spans="1:6">
      <c r="A9" s="334">
        <v>5</v>
      </c>
      <c r="B9" s="335" t="s">
        <v>64</v>
      </c>
      <c r="C9" s="335">
        <v>8000</v>
      </c>
      <c r="D9" s="335">
        <v>27</v>
      </c>
      <c r="E9" s="300">
        <v>216000</v>
      </c>
      <c r="F9" s="300">
        <v>156200</v>
      </c>
    </row>
    <row r="10" spans="1:6">
      <c r="A10" s="334">
        <v>6</v>
      </c>
      <c r="B10" s="335" t="s">
        <v>362</v>
      </c>
      <c r="C10" s="335">
        <v>12000</v>
      </c>
      <c r="D10" s="335">
        <v>26</v>
      </c>
      <c r="E10" s="300">
        <v>312000</v>
      </c>
      <c r="F10" s="300">
        <v>152000</v>
      </c>
    </row>
    <row r="11" spans="1:6">
      <c r="A11" s="334">
        <v>7</v>
      </c>
      <c r="B11" s="335" t="s">
        <v>317</v>
      </c>
      <c r="C11" s="335">
        <v>24000</v>
      </c>
      <c r="D11" s="335">
        <v>10</v>
      </c>
      <c r="E11" s="300">
        <v>240000</v>
      </c>
      <c r="F11" s="300">
        <v>143100</v>
      </c>
    </row>
    <row r="12" spans="1:6">
      <c r="A12" s="334">
        <v>8</v>
      </c>
      <c r="B12" s="335" t="s">
        <v>909</v>
      </c>
      <c r="C12" s="335">
        <v>438</v>
      </c>
      <c r="D12" s="335">
        <v>400</v>
      </c>
      <c r="E12" s="300">
        <v>175200</v>
      </c>
      <c r="F12" s="300">
        <v>131200</v>
      </c>
    </row>
    <row r="13" spans="1:6">
      <c r="A13" s="334">
        <v>9</v>
      </c>
      <c r="B13" s="335" t="s">
        <v>825</v>
      </c>
      <c r="C13" s="335">
        <v>240</v>
      </c>
      <c r="D13" s="335">
        <v>682.66</v>
      </c>
      <c r="E13" s="300">
        <v>163838.39999999999</v>
      </c>
      <c r="F13" s="300">
        <v>122878.79999999999</v>
      </c>
    </row>
    <row r="14" spans="1:6">
      <c r="A14" s="334">
        <v>10</v>
      </c>
      <c r="B14" s="335" t="s">
        <v>604</v>
      </c>
      <c r="C14" s="335">
        <v>1200</v>
      </c>
      <c r="D14" s="335">
        <v>106</v>
      </c>
      <c r="E14" s="300">
        <v>127200</v>
      </c>
      <c r="F14" s="300">
        <v>90858</v>
      </c>
    </row>
    <row r="15" spans="1:6">
      <c r="A15" s="334">
        <v>11</v>
      </c>
      <c r="B15" s="335" t="s">
        <v>669</v>
      </c>
      <c r="C15" s="335">
        <v>700</v>
      </c>
      <c r="D15" s="335">
        <v>214</v>
      </c>
      <c r="E15" s="300">
        <v>149800</v>
      </c>
      <c r="F15" s="300">
        <v>80000</v>
      </c>
    </row>
    <row r="16" spans="1:6">
      <c r="A16" s="334">
        <v>12</v>
      </c>
      <c r="B16" s="335" t="s">
        <v>114</v>
      </c>
      <c r="C16" s="335">
        <v>6000</v>
      </c>
      <c r="D16" s="335">
        <v>20.010000000000002</v>
      </c>
      <c r="E16" s="300">
        <v>120060.00000000001</v>
      </c>
      <c r="F16" s="300">
        <v>76500</v>
      </c>
    </row>
    <row r="17" spans="1:6">
      <c r="A17" s="334">
        <v>13</v>
      </c>
      <c r="B17" s="335" t="s">
        <v>239</v>
      </c>
      <c r="C17" s="335">
        <v>44</v>
      </c>
      <c r="D17" s="335">
        <v>3317</v>
      </c>
      <c r="E17" s="300">
        <v>145948</v>
      </c>
      <c r="F17" s="300">
        <v>66340</v>
      </c>
    </row>
    <row r="18" spans="1:6">
      <c r="A18" s="334">
        <v>14</v>
      </c>
      <c r="B18" s="335" t="s">
        <v>693</v>
      </c>
      <c r="C18" s="335">
        <v>8500</v>
      </c>
      <c r="D18" s="335">
        <v>14</v>
      </c>
      <c r="E18" s="300">
        <v>119000</v>
      </c>
      <c r="F18" s="300">
        <v>66000</v>
      </c>
    </row>
    <row r="19" spans="1:6">
      <c r="A19" s="334">
        <v>15</v>
      </c>
      <c r="B19" s="335" t="s">
        <v>504</v>
      </c>
      <c r="C19" s="335">
        <v>100</v>
      </c>
      <c r="D19" s="335">
        <v>1110</v>
      </c>
      <c r="E19" s="300">
        <v>111000</v>
      </c>
      <c r="F19" s="300">
        <v>64500</v>
      </c>
    </row>
    <row r="20" spans="1:6">
      <c r="A20" s="334">
        <v>16</v>
      </c>
      <c r="B20" s="335" t="s">
        <v>967</v>
      </c>
      <c r="C20" s="335">
        <v>580</v>
      </c>
      <c r="D20" s="335">
        <v>120</v>
      </c>
      <c r="E20" s="300">
        <v>69600</v>
      </c>
      <c r="F20" s="300">
        <v>56000</v>
      </c>
    </row>
    <row r="21" spans="1:6">
      <c r="A21" s="334">
        <v>17</v>
      </c>
      <c r="B21" s="335" t="s">
        <v>426</v>
      </c>
      <c r="C21" s="335">
        <v>10000</v>
      </c>
      <c r="D21" s="335">
        <v>10</v>
      </c>
      <c r="E21" s="300">
        <v>100000</v>
      </c>
      <c r="F21" s="300">
        <v>51360</v>
      </c>
    </row>
    <row r="22" spans="1:6">
      <c r="A22" s="334">
        <v>18</v>
      </c>
      <c r="B22" s="335" t="s">
        <v>659</v>
      </c>
      <c r="C22" s="335">
        <v>1700</v>
      </c>
      <c r="D22" s="335">
        <v>40.659999999999997</v>
      </c>
      <c r="E22" s="300">
        <v>69122</v>
      </c>
      <c r="F22" s="300">
        <v>49000</v>
      </c>
    </row>
    <row r="23" spans="1:6">
      <c r="A23" s="334">
        <v>19</v>
      </c>
      <c r="B23" s="335" t="s">
        <v>636</v>
      </c>
      <c r="C23" s="335">
        <v>300</v>
      </c>
      <c r="D23" s="335">
        <v>204</v>
      </c>
      <c r="E23" s="300">
        <v>61200</v>
      </c>
      <c r="F23" s="300">
        <v>40660</v>
      </c>
    </row>
    <row r="24" spans="1:6">
      <c r="A24" s="334">
        <v>20</v>
      </c>
      <c r="B24" s="335" t="s">
        <v>870</v>
      </c>
      <c r="C24" s="335">
        <v>200</v>
      </c>
      <c r="D24" s="335">
        <v>280</v>
      </c>
      <c r="E24" s="300">
        <v>56000</v>
      </c>
      <c r="F24" s="300">
        <v>39750</v>
      </c>
    </row>
    <row r="25" spans="1:6">
      <c r="A25" s="334">
        <v>21</v>
      </c>
      <c r="B25" s="335" t="s">
        <v>747</v>
      </c>
      <c r="C25" s="335">
        <v>1300</v>
      </c>
      <c r="D25" s="335">
        <v>51.36</v>
      </c>
      <c r="E25" s="300">
        <v>66768</v>
      </c>
      <c r="F25" s="300">
        <v>38000</v>
      </c>
    </row>
    <row r="26" spans="1:6">
      <c r="A26" s="334">
        <v>22</v>
      </c>
      <c r="B26" s="335" t="s">
        <v>68</v>
      </c>
      <c r="C26" s="335">
        <v>2000</v>
      </c>
      <c r="D26" s="335">
        <v>27</v>
      </c>
      <c r="E26" s="300">
        <v>54000</v>
      </c>
      <c r="F26" s="300">
        <v>37500</v>
      </c>
    </row>
    <row r="27" spans="1:6">
      <c r="A27" s="334">
        <v>23</v>
      </c>
      <c r="B27" s="335" t="s">
        <v>293</v>
      </c>
      <c r="C27" s="335">
        <v>11000</v>
      </c>
      <c r="D27" s="335">
        <v>6</v>
      </c>
      <c r="E27" s="300">
        <v>66000</v>
      </c>
      <c r="F27" s="300">
        <v>37075.499999999993</v>
      </c>
    </row>
    <row r="28" spans="1:6">
      <c r="A28" s="334">
        <v>24</v>
      </c>
      <c r="B28" s="335" t="s">
        <v>618</v>
      </c>
      <c r="C28" s="335">
        <v>3000</v>
      </c>
      <c r="D28" s="335">
        <v>35</v>
      </c>
      <c r="E28" s="300">
        <v>105000</v>
      </c>
      <c r="F28" s="300">
        <v>36800</v>
      </c>
    </row>
    <row r="29" spans="1:6">
      <c r="A29" s="334">
        <v>25</v>
      </c>
      <c r="B29" s="335" t="s">
        <v>434</v>
      </c>
      <c r="C29" s="335">
        <v>2000</v>
      </c>
      <c r="D29" s="335">
        <v>29</v>
      </c>
      <c r="E29" s="300">
        <v>58000</v>
      </c>
      <c r="F29" s="300">
        <v>34800</v>
      </c>
    </row>
    <row r="30" spans="1:6">
      <c r="A30" s="334">
        <v>26</v>
      </c>
      <c r="B30" s="335" t="s">
        <v>1754</v>
      </c>
      <c r="C30" s="335">
        <v>1300</v>
      </c>
      <c r="D30" s="335">
        <v>38.520000000000003</v>
      </c>
      <c r="E30" s="300">
        <v>50076.000000000007</v>
      </c>
      <c r="F30" s="300">
        <v>34668</v>
      </c>
    </row>
    <row r="31" spans="1:6">
      <c r="A31" s="334">
        <v>27</v>
      </c>
      <c r="B31" s="335" t="s">
        <v>697</v>
      </c>
      <c r="C31" s="335">
        <v>210</v>
      </c>
      <c r="D31" s="335">
        <v>300</v>
      </c>
      <c r="E31" s="300">
        <v>63000</v>
      </c>
      <c r="F31" s="300">
        <v>33000</v>
      </c>
    </row>
    <row r="32" spans="1:6">
      <c r="A32" s="334">
        <v>28</v>
      </c>
      <c r="B32" s="335" t="s">
        <v>631</v>
      </c>
      <c r="C32" s="335">
        <v>100</v>
      </c>
      <c r="D32" s="335">
        <v>600</v>
      </c>
      <c r="E32" s="300">
        <v>60000</v>
      </c>
      <c r="F32" s="300">
        <v>32250</v>
      </c>
    </row>
    <row r="33" spans="1:6">
      <c r="A33" s="334">
        <v>29</v>
      </c>
      <c r="B33" s="335" t="s">
        <v>600</v>
      </c>
      <c r="C33" s="335">
        <v>60</v>
      </c>
      <c r="D33" s="335">
        <v>550</v>
      </c>
      <c r="E33" s="300">
        <v>33000</v>
      </c>
      <c r="F33" s="300">
        <v>32100</v>
      </c>
    </row>
    <row r="34" spans="1:6">
      <c r="A34" s="334">
        <v>30</v>
      </c>
      <c r="B34" s="335" t="s">
        <v>142</v>
      </c>
      <c r="C34" s="335">
        <v>500</v>
      </c>
      <c r="D34" s="335">
        <v>60</v>
      </c>
      <c r="E34" s="300">
        <v>30000</v>
      </c>
      <c r="F34" s="300">
        <v>29960</v>
      </c>
    </row>
    <row r="35" spans="1:6">
      <c r="B35" t="s">
        <v>190</v>
      </c>
      <c r="C35">
        <v>65</v>
      </c>
      <c r="D35">
        <v>1500</v>
      </c>
      <c r="E35" s="298">
        <v>97500</v>
      </c>
      <c r="F35" s="298">
        <v>29425</v>
      </c>
    </row>
    <row r="36" spans="1:6">
      <c r="B36" t="s">
        <v>925</v>
      </c>
      <c r="C36">
        <v>2500</v>
      </c>
      <c r="D36">
        <v>15</v>
      </c>
      <c r="E36" s="298">
        <v>37500</v>
      </c>
      <c r="F36" s="298">
        <v>28200</v>
      </c>
    </row>
    <row r="37" spans="1:6">
      <c r="B37" t="s">
        <v>138</v>
      </c>
      <c r="C37">
        <v>5000</v>
      </c>
      <c r="D37">
        <v>9.1</v>
      </c>
      <c r="E37" s="298">
        <v>45500</v>
      </c>
      <c r="F37" s="298">
        <v>27300</v>
      </c>
    </row>
    <row r="38" spans="1:6">
      <c r="B38" t="s">
        <v>655</v>
      </c>
      <c r="C38">
        <v>9000</v>
      </c>
      <c r="D38">
        <v>6.5</v>
      </c>
      <c r="E38" s="298">
        <v>58500</v>
      </c>
      <c r="F38" s="298">
        <v>26500</v>
      </c>
    </row>
    <row r="39" spans="1:6">
      <c r="B39" t="s">
        <v>326</v>
      </c>
      <c r="C39">
        <v>1350</v>
      </c>
      <c r="D39">
        <v>19</v>
      </c>
      <c r="E39" s="298">
        <v>25650</v>
      </c>
      <c r="F39" s="298">
        <v>25650</v>
      </c>
    </row>
    <row r="40" spans="1:6">
      <c r="B40" t="s">
        <v>135</v>
      </c>
      <c r="C40">
        <v>1200</v>
      </c>
      <c r="D40">
        <v>27.82</v>
      </c>
      <c r="E40" s="298">
        <v>33384</v>
      </c>
      <c r="F40" s="298">
        <v>25038</v>
      </c>
    </row>
    <row r="41" spans="1:6">
      <c r="B41" t="s">
        <v>782</v>
      </c>
      <c r="C41">
        <v>100</v>
      </c>
      <c r="D41">
        <v>420</v>
      </c>
      <c r="E41" s="298">
        <v>42000</v>
      </c>
      <c r="F41" s="298">
        <v>23603.200000000001</v>
      </c>
    </row>
    <row r="42" spans="1:6">
      <c r="B42" t="s">
        <v>155</v>
      </c>
      <c r="C42">
        <v>300</v>
      </c>
      <c r="D42">
        <v>92.733333333333306</v>
      </c>
      <c r="E42" s="298">
        <v>27819.999999999993</v>
      </c>
      <c r="F42" s="298">
        <v>23400</v>
      </c>
    </row>
    <row r="43" spans="1:6">
      <c r="B43" t="s">
        <v>194</v>
      </c>
      <c r="C43">
        <v>2500</v>
      </c>
      <c r="D43">
        <v>12.84</v>
      </c>
      <c r="E43" s="298">
        <v>32100</v>
      </c>
      <c r="F43" s="298">
        <v>23000</v>
      </c>
    </row>
    <row r="44" spans="1:6">
      <c r="B44" t="s">
        <v>913</v>
      </c>
      <c r="C44">
        <v>4500</v>
      </c>
      <c r="D44">
        <v>6.42</v>
      </c>
      <c r="E44" s="298">
        <v>28890</v>
      </c>
      <c r="F44" s="298">
        <v>22440</v>
      </c>
    </row>
    <row r="45" spans="1:6">
      <c r="B45" t="s">
        <v>641</v>
      </c>
      <c r="C45">
        <v>1200</v>
      </c>
      <c r="D45">
        <v>29.54</v>
      </c>
      <c r="E45" s="298">
        <v>35448</v>
      </c>
      <c r="F45" s="298">
        <v>20940</v>
      </c>
    </row>
    <row r="46" spans="1:6">
      <c r="B46" t="s">
        <v>777</v>
      </c>
      <c r="C46">
        <v>50</v>
      </c>
      <c r="D46">
        <v>500</v>
      </c>
      <c r="E46" s="298">
        <v>25000</v>
      </c>
      <c r="F46" s="298">
        <v>20000</v>
      </c>
    </row>
    <row r="47" spans="1:6">
      <c r="B47" t="s">
        <v>275</v>
      </c>
      <c r="C47">
        <v>300</v>
      </c>
      <c r="D47">
        <v>145</v>
      </c>
      <c r="E47" s="298">
        <v>43500</v>
      </c>
      <c r="F47" s="298">
        <v>19688</v>
      </c>
    </row>
    <row r="48" spans="1:6">
      <c r="B48" t="s">
        <v>105</v>
      </c>
      <c r="C48">
        <v>150</v>
      </c>
      <c r="D48">
        <v>200</v>
      </c>
      <c r="E48" s="298">
        <v>30000</v>
      </c>
      <c r="F48" s="298">
        <v>19500</v>
      </c>
    </row>
    <row r="49" spans="2:6">
      <c r="B49" t="s">
        <v>399</v>
      </c>
      <c r="C49">
        <v>15</v>
      </c>
      <c r="D49">
        <v>1300</v>
      </c>
      <c r="E49" s="298">
        <v>19500</v>
      </c>
      <c r="F49" s="298">
        <v>19200</v>
      </c>
    </row>
    <row r="50" spans="2:6">
      <c r="B50" t="s">
        <v>816</v>
      </c>
      <c r="C50">
        <v>40</v>
      </c>
      <c r="D50">
        <v>640</v>
      </c>
      <c r="E50" s="298">
        <v>25600</v>
      </c>
      <c r="F50" s="298">
        <v>19200</v>
      </c>
    </row>
    <row r="51" spans="2:6">
      <c r="B51" t="s">
        <v>701</v>
      </c>
      <c r="C51">
        <v>300</v>
      </c>
      <c r="D51">
        <v>63.13</v>
      </c>
      <c r="E51" s="298">
        <v>18939</v>
      </c>
      <c r="F51" s="298">
        <v>18900</v>
      </c>
    </row>
    <row r="52" spans="2:6">
      <c r="B52" t="s">
        <v>830</v>
      </c>
      <c r="C52">
        <v>80</v>
      </c>
      <c r="D52">
        <v>500</v>
      </c>
      <c r="E52" s="298">
        <v>24000</v>
      </c>
      <c r="F52" s="298">
        <v>18618</v>
      </c>
    </row>
    <row r="53" spans="2:6">
      <c r="B53" t="s">
        <v>59</v>
      </c>
      <c r="C53">
        <v>700</v>
      </c>
      <c r="D53">
        <v>25</v>
      </c>
      <c r="E53" s="298">
        <v>17500</v>
      </c>
      <c r="F53" s="298">
        <v>18000</v>
      </c>
    </row>
    <row r="54" spans="2:6">
      <c r="B54" t="s">
        <v>378</v>
      </c>
      <c r="C54">
        <v>40</v>
      </c>
      <c r="D54">
        <v>620</v>
      </c>
      <c r="E54" s="298">
        <v>24800</v>
      </c>
      <c r="F54" s="298">
        <v>16800</v>
      </c>
    </row>
    <row r="55" spans="2:6">
      <c r="B55" t="s">
        <v>685</v>
      </c>
      <c r="C55">
        <v>1600</v>
      </c>
      <c r="D55">
        <v>16.53</v>
      </c>
      <c r="E55" s="298">
        <v>26448</v>
      </c>
      <c r="F55" s="298">
        <v>16800</v>
      </c>
    </row>
    <row r="56" spans="2:6">
      <c r="B56" t="s">
        <v>751</v>
      </c>
      <c r="C56">
        <v>400</v>
      </c>
      <c r="D56">
        <v>55</v>
      </c>
      <c r="E56" s="298">
        <v>22000</v>
      </c>
      <c r="F56" s="298">
        <v>16500</v>
      </c>
    </row>
    <row r="57" spans="2:6">
      <c r="B57" t="s">
        <v>248</v>
      </c>
      <c r="C57">
        <v>100</v>
      </c>
      <c r="D57">
        <v>210</v>
      </c>
      <c r="E57" s="298">
        <v>21000</v>
      </c>
      <c r="F57" s="298">
        <v>16400</v>
      </c>
    </row>
    <row r="58" spans="2:6">
      <c r="B58" t="s">
        <v>513</v>
      </c>
      <c r="C58">
        <v>50</v>
      </c>
      <c r="D58">
        <v>400</v>
      </c>
      <c r="E58" s="298">
        <v>20000</v>
      </c>
      <c r="F58" s="298">
        <v>16000</v>
      </c>
    </row>
    <row r="59" spans="2:6">
      <c r="B59" t="s">
        <v>159</v>
      </c>
      <c r="C59">
        <v>60</v>
      </c>
      <c r="D59">
        <v>350</v>
      </c>
      <c r="E59" s="298">
        <v>21000</v>
      </c>
      <c r="F59" s="298">
        <v>15750</v>
      </c>
    </row>
    <row r="60" spans="2:6">
      <c r="B60" t="s">
        <v>367</v>
      </c>
      <c r="C60">
        <v>50</v>
      </c>
      <c r="D60">
        <v>500.12</v>
      </c>
      <c r="E60" s="298">
        <v>25006</v>
      </c>
      <c r="F60" s="298">
        <v>15600</v>
      </c>
    </row>
    <row r="61" spans="2:6">
      <c r="B61" t="s">
        <v>201</v>
      </c>
      <c r="C61">
        <v>900</v>
      </c>
      <c r="D61">
        <v>40</v>
      </c>
      <c r="E61" s="298">
        <v>36000</v>
      </c>
      <c r="F61" s="298">
        <v>15250</v>
      </c>
    </row>
    <row r="62" spans="2:6">
      <c r="B62" t="s">
        <v>882</v>
      </c>
      <c r="C62">
        <v>2000</v>
      </c>
      <c r="D62">
        <v>10</v>
      </c>
      <c r="E62" s="298">
        <v>20000</v>
      </c>
      <c r="F62" s="298">
        <v>13500</v>
      </c>
    </row>
    <row r="63" spans="2:6">
      <c r="B63" t="s">
        <v>72</v>
      </c>
      <c r="C63">
        <v>10000</v>
      </c>
      <c r="D63">
        <v>5.35</v>
      </c>
      <c r="E63" s="298">
        <v>53500</v>
      </c>
      <c r="F63" s="298">
        <v>13300</v>
      </c>
    </row>
    <row r="64" spans="2:6">
      <c r="B64" t="s">
        <v>309</v>
      </c>
      <c r="C64">
        <v>1600</v>
      </c>
      <c r="D64">
        <v>20</v>
      </c>
      <c r="E64" s="298">
        <v>32000</v>
      </c>
      <c r="F64" s="298">
        <v>12960</v>
      </c>
    </row>
    <row r="65" spans="2:6">
      <c r="B65" t="s">
        <v>566</v>
      </c>
      <c r="C65">
        <v>700</v>
      </c>
      <c r="D65">
        <v>22</v>
      </c>
      <c r="E65" s="298">
        <v>15400</v>
      </c>
      <c r="F65" s="298">
        <v>12840</v>
      </c>
    </row>
    <row r="66" spans="2:6">
      <c r="B66" t="s">
        <v>279</v>
      </c>
      <c r="C66">
        <v>1700</v>
      </c>
      <c r="D66">
        <v>10</v>
      </c>
      <c r="E66" s="298">
        <v>17000</v>
      </c>
      <c r="F66" s="298">
        <v>12519</v>
      </c>
    </row>
    <row r="67" spans="2:6">
      <c r="B67" t="s">
        <v>534</v>
      </c>
      <c r="C67">
        <v>100</v>
      </c>
      <c r="D67">
        <v>130</v>
      </c>
      <c r="E67" s="298">
        <v>13000</v>
      </c>
      <c r="F67" s="298">
        <v>12500</v>
      </c>
    </row>
    <row r="68" spans="2:6">
      <c r="B68" t="s">
        <v>482</v>
      </c>
      <c r="C68">
        <v>4000</v>
      </c>
      <c r="D68">
        <v>5.35</v>
      </c>
      <c r="E68" s="298">
        <v>21400</v>
      </c>
      <c r="F68" s="298">
        <v>12300</v>
      </c>
    </row>
    <row r="69" spans="2:6">
      <c r="B69" t="s">
        <v>99</v>
      </c>
      <c r="C69">
        <v>118</v>
      </c>
      <c r="D69">
        <v>180</v>
      </c>
      <c r="E69" s="298">
        <v>21240</v>
      </c>
      <c r="F69" s="298">
        <v>12264</v>
      </c>
    </row>
    <row r="70" spans="2:6">
      <c r="B70" t="s">
        <v>253</v>
      </c>
      <c r="C70">
        <v>47</v>
      </c>
      <c r="D70">
        <v>340</v>
      </c>
      <c r="E70" s="298">
        <v>15980</v>
      </c>
      <c r="F70" s="298">
        <v>11900</v>
      </c>
    </row>
    <row r="71" spans="2:6">
      <c r="B71" t="s">
        <v>406</v>
      </c>
      <c r="C71">
        <v>100</v>
      </c>
      <c r="D71">
        <v>235.4</v>
      </c>
      <c r="E71" s="298">
        <v>23540</v>
      </c>
      <c r="F71" s="298">
        <v>11770</v>
      </c>
    </row>
    <row r="72" spans="2:6">
      <c r="B72" t="s">
        <v>109</v>
      </c>
      <c r="C72">
        <v>1000</v>
      </c>
      <c r="D72">
        <v>6.2060000000000004</v>
      </c>
      <c r="E72" s="298">
        <v>6206</v>
      </c>
      <c r="F72" s="298">
        <v>11715</v>
      </c>
    </row>
    <row r="73" spans="2:6">
      <c r="B73" t="s">
        <v>970</v>
      </c>
      <c r="C73">
        <v>15</v>
      </c>
      <c r="D73">
        <v>770</v>
      </c>
      <c r="E73" s="298">
        <v>11550</v>
      </c>
      <c r="F73" s="298">
        <v>11550</v>
      </c>
    </row>
    <row r="74" spans="2:6">
      <c r="B74" t="s">
        <v>982</v>
      </c>
      <c r="C74">
        <v>600</v>
      </c>
      <c r="D74">
        <v>80</v>
      </c>
      <c r="E74" s="298">
        <v>48000</v>
      </c>
      <c r="F74" s="298">
        <v>11400</v>
      </c>
    </row>
    <row r="75" spans="2:6">
      <c r="B75" t="s">
        <v>87</v>
      </c>
      <c r="C75">
        <v>600</v>
      </c>
      <c r="D75">
        <v>20.329999999999998</v>
      </c>
      <c r="E75" s="298">
        <v>12197.999999999998</v>
      </c>
      <c r="F75" s="298">
        <v>10800</v>
      </c>
    </row>
    <row r="76" spans="2:6">
      <c r="B76" t="s">
        <v>719</v>
      </c>
      <c r="C76">
        <v>20</v>
      </c>
      <c r="D76">
        <v>860</v>
      </c>
      <c r="E76" s="298">
        <v>17200</v>
      </c>
      <c r="F76" s="298">
        <v>10500</v>
      </c>
    </row>
    <row r="77" spans="2:6">
      <c r="B77" t="s">
        <v>865</v>
      </c>
      <c r="C77">
        <v>80</v>
      </c>
      <c r="D77">
        <v>180</v>
      </c>
      <c r="E77" s="298">
        <v>14400</v>
      </c>
      <c r="F77" s="298">
        <v>10200</v>
      </c>
    </row>
    <row r="78" spans="2:6">
      <c r="B78" t="s">
        <v>765</v>
      </c>
      <c r="C78">
        <v>1600</v>
      </c>
      <c r="D78">
        <v>10.26</v>
      </c>
      <c r="E78" s="298">
        <v>16416</v>
      </c>
      <c r="F78" s="298">
        <v>10175</v>
      </c>
    </row>
    <row r="79" spans="2:6">
      <c r="B79" t="s">
        <v>963</v>
      </c>
      <c r="C79">
        <v>300</v>
      </c>
      <c r="D79">
        <v>50</v>
      </c>
      <c r="E79" s="298">
        <v>15000</v>
      </c>
      <c r="F79" s="298">
        <v>10000</v>
      </c>
    </row>
    <row r="80" spans="2:6">
      <c r="B80" t="s">
        <v>463</v>
      </c>
      <c r="C80">
        <v>1200</v>
      </c>
      <c r="D80">
        <v>16</v>
      </c>
      <c r="E80" s="298">
        <v>19200</v>
      </c>
      <c r="F80" s="298">
        <v>9800</v>
      </c>
    </row>
    <row r="81" spans="2:6">
      <c r="B81" t="s">
        <v>539</v>
      </c>
      <c r="C81">
        <v>2000</v>
      </c>
      <c r="D81">
        <v>7</v>
      </c>
      <c r="E81" s="298">
        <v>14000</v>
      </c>
      <c r="F81" s="298">
        <v>9630</v>
      </c>
    </row>
    <row r="82" spans="2:6">
      <c r="B82" t="s">
        <v>418</v>
      </c>
      <c r="C82">
        <v>20</v>
      </c>
      <c r="D82">
        <v>630</v>
      </c>
      <c r="E82" s="298">
        <v>12600</v>
      </c>
      <c r="F82" s="298">
        <v>9450</v>
      </c>
    </row>
    <row r="83" spans="2:6">
      <c r="B83" t="s">
        <v>164</v>
      </c>
      <c r="C83">
        <v>18</v>
      </c>
      <c r="D83">
        <v>510</v>
      </c>
      <c r="E83" s="298">
        <v>9180</v>
      </c>
      <c r="F83" s="298">
        <v>9052.1999999999989</v>
      </c>
    </row>
    <row r="84" spans="2:6">
      <c r="B84" t="s">
        <v>441</v>
      </c>
      <c r="C84">
        <v>200</v>
      </c>
      <c r="D84">
        <v>32.1</v>
      </c>
      <c r="E84" s="298">
        <v>6420</v>
      </c>
      <c r="F84" s="298">
        <v>8850</v>
      </c>
    </row>
    <row r="85" spans="2:6">
      <c r="B85" t="s">
        <v>430</v>
      </c>
      <c r="C85">
        <v>200</v>
      </c>
      <c r="D85">
        <v>60</v>
      </c>
      <c r="E85" s="298">
        <v>12000</v>
      </c>
      <c r="F85" s="298">
        <v>8800</v>
      </c>
    </row>
    <row r="86" spans="2:6">
      <c r="B86" t="s">
        <v>898</v>
      </c>
      <c r="C86">
        <v>30</v>
      </c>
      <c r="D86">
        <v>591</v>
      </c>
      <c r="E86" s="298">
        <v>17730</v>
      </c>
      <c r="F86" s="298">
        <v>8760</v>
      </c>
    </row>
    <row r="87" spans="2:6">
      <c r="B87" t="s">
        <v>336</v>
      </c>
      <c r="C87">
        <v>10</v>
      </c>
      <c r="D87">
        <v>860</v>
      </c>
      <c r="E87" s="298">
        <v>8600</v>
      </c>
      <c r="F87" s="298">
        <v>8600</v>
      </c>
    </row>
    <row r="88" spans="2:6">
      <c r="B88" t="s">
        <v>545</v>
      </c>
      <c r="C88">
        <v>70</v>
      </c>
      <c r="D88">
        <v>200</v>
      </c>
      <c r="E88" s="298">
        <v>14000</v>
      </c>
      <c r="F88" s="298">
        <v>8400</v>
      </c>
    </row>
    <row r="89" spans="2:6">
      <c r="B89" t="s">
        <v>627</v>
      </c>
      <c r="C89">
        <v>42</v>
      </c>
      <c r="D89">
        <v>380</v>
      </c>
      <c r="E89" s="298">
        <v>15960</v>
      </c>
      <c r="F89" s="298">
        <v>8360</v>
      </c>
    </row>
    <row r="90" spans="2:6">
      <c r="B90" t="s">
        <v>847</v>
      </c>
      <c r="C90">
        <v>600</v>
      </c>
      <c r="D90">
        <v>41.2</v>
      </c>
      <c r="E90" s="298">
        <v>24720</v>
      </c>
      <c r="F90" s="298">
        <v>8240</v>
      </c>
    </row>
    <row r="91" spans="2:6">
      <c r="B91" t="s">
        <v>714</v>
      </c>
      <c r="C91">
        <v>30</v>
      </c>
      <c r="D91">
        <v>540</v>
      </c>
      <c r="E91" s="298">
        <v>16200</v>
      </c>
      <c r="F91" s="298">
        <v>8000</v>
      </c>
    </row>
    <row r="92" spans="2:6">
      <c r="B92" t="s">
        <v>260</v>
      </c>
      <c r="C92">
        <v>50</v>
      </c>
      <c r="D92">
        <v>400</v>
      </c>
      <c r="E92" s="298">
        <v>20000</v>
      </c>
      <c r="F92" s="298">
        <v>7800</v>
      </c>
    </row>
    <row r="93" spans="2:6">
      <c r="B93" t="s">
        <v>265</v>
      </c>
      <c r="C93">
        <v>2900</v>
      </c>
      <c r="D93">
        <v>8.56</v>
      </c>
      <c r="E93" s="298">
        <v>24824</v>
      </c>
      <c r="F93" s="298">
        <v>7704</v>
      </c>
    </row>
    <row r="94" spans="2:6">
      <c r="B94" t="s">
        <v>341</v>
      </c>
      <c r="C94">
        <v>7</v>
      </c>
      <c r="D94">
        <v>1100</v>
      </c>
      <c r="E94" s="298">
        <v>7700</v>
      </c>
      <c r="F94" s="298">
        <v>7700</v>
      </c>
    </row>
    <row r="95" spans="2:6">
      <c r="B95" t="s">
        <v>736</v>
      </c>
      <c r="C95">
        <v>50</v>
      </c>
      <c r="D95">
        <v>150</v>
      </c>
      <c r="E95" s="298">
        <v>7500</v>
      </c>
      <c r="F95" s="298">
        <v>7500</v>
      </c>
    </row>
    <row r="96" spans="2:6">
      <c r="B96" t="s">
        <v>382</v>
      </c>
      <c r="C96">
        <v>1920</v>
      </c>
      <c r="D96">
        <v>7</v>
      </c>
      <c r="E96" s="298">
        <v>13440</v>
      </c>
      <c r="F96" s="298">
        <v>7440</v>
      </c>
    </row>
    <row r="97" spans="2:6">
      <c r="B97" t="s">
        <v>354</v>
      </c>
      <c r="C97">
        <v>20</v>
      </c>
      <c r="D97">
        <v>700</v>
      </c>
      <c r="E97" s="298">
        <v>14000</v>
      </c>
      <c r="F97" s="298">
        <v>7350</v>
      </c>
    </row>
    <row r="98" spans="2:6">
      <c r="B98" t="s">
        <v>812</v>
      </c>
      <c r="C98">
        <v>1000</v>
      </c>
      <c r="D98">
        <v>8</v>
      </c>
      <c r="E98" s="298">
        <v>8000</v>
      </c>
      <c r="F98" s="298">
        <v>7000</v>
      </c>
    </row>
    <row r="99" spans="2:6">
      <c r="B99" t="s">
        <v>508</v>
      </c>
      <c r="C99">
        <v>1200</v>
      </c>
      <c r="D99">
        <v>22.47</v>
      </c>
      <c r="E99" s="298">
        <v>26964</v>
      </c>
      <c r="F99" s="298">
        <v>6800</v>
      </c>
    </row>
    <row r="100" spans="2:6">
      <c r="B100" t="s">
        <v>530</v>
      </c>
      <c r="C100">
        <v>80</v>
      </c>
      <c r="D100">
        <v>210</v>
      </c>
      <c r="E100" s="298">
        <v>16800</v>
      </c>
      <c r="F100" s="298">
        <v>6800</v>
      </c>
    </row>
    <row r="101" spans="2:6">
      <c r="B101" t="s">
        <v>886</v>
      </c>
      <c r="C101">
        <v>1500</v>
      </c>
      <c r="D101">
        <v>10.7</v>
      </c>
      <c r="E101" s="298">
        <v>16049.999999999998</v>
      </c>
      <c r="F101" s="298">
        <v>6800</v>
      </c>
    </row>
    <row r="102" spans="2:6">
      <c r="B102" t="s">
        <v>78</v>
      </c>
      <c r="C102">
        <v>100</v>
      </c>
      <c r="D102">
        <v>31</v>
      </c>
      <c r="E102" s="298">
        <v>3100</v>
      </c>
      <c r="F102" s="298">
        <v>6080</v>
      </c>
    </row>
    <row r="103" spans="2:6">
      <c r="B103" t="s">
        <v>244</v>
      </c>
      <c r="C103">
        <v>140</v>
      </c>
      <c r="D103">
        <v>60</v>
      </c>
      <c r="E103" s="298">
        <v>8400</v>
      </c>
      <c r="F103" s="298">
        <v>6000</v>
      </c>
    </row>
    <row r="104" spans="2:6">
      <c r="B104" t="s">
        <v>689</v>
      </c>
      <c r="C104">
        <v>6</v>
      </c>
      <c r="D104">
        <v>2000</v>
      </c>
      <c r="E104" s="298">
        <v>12000</v>
      </c>
      <c r="F104" s="298">
        <v>6000</v>
      </c>
    </row>
    <row r="105" spans="2:6">
      <c r="B105" t="s">
        <v>1003</v>
      </c>
      <c r="C105">
        <v>10</v>
      </c>
      <c r="D105">
        <v>550</v>
      </c>
      <c r="E105" s="298">
        <v>5500</v>
      </c>
      <c r="F105" s="298">
        <v>5500</v>
      </c>
    </row>
    <row r="106" spans="2:6">
      <c r="B106" t="s">
        <v>974</v>
      </c>
      <c r="C106">
        <v>900</v>
      </c>
      <c r="D106">
        <v>36.090000000000003</v>
      </c>
      <c r="E106" s="298">
        <v>32481.000000000004</v>
      </c>
      <c r="F106" s="298">
        <v>5475</v>
      </c>
    </row>
    <row r="107" spans="2:6">
      <c r="B107" t="s">
        <v>177</v>
      </c>
      <c r="C107">
        <v>60</v>
      </c>
      <c r="D107">
        <v>90</v>
      </c>
      <c r="E107" s="298">
        <v>5400</v>
      </c>
      <c r="F107" s="298">
        <v>5400</v>
      </c>
    </row>
    <row r="108" spans="2:6">
      <c r="B108" t="s">
        <v>989</v>
      </c>
      <c r="C108">
        <v>300</v>
      </c>
      <c r="D108">
        <v>40</v>
      </c>
      <c r="E108" s="298">
        <v>12000</v>
      </c>
      <c r="F108" s="298">
        <v>5307.2000000000007</v>
      </c>
    </row>
    <row r="109" spans="2:6">
      <c r="B109" t="s">
        <v>790</v>
      </c>
      <c r="C109">
        <v>30</v>
      </c>
      <c r="D109">
        <v>350</v>
      </c>
      <c r="E109" s="298">
        <v>10500</v>
      </c>
      <c r="F109" s="298">
        <v>5200</v>
      </c>
    </row>
    <row r="110" spans="2:6">
      <c r="B110" t="s">
        <v>183</v>
      </c>
      <c r="C110">
        <v>13</v>
      </c>
      <c r="D110">
        <v>970</v>
      </c>
      <c r="E110" s="298">
        <v>12610</v>
      </c>
      <c r="F110" s="298">
        <v>5103.8999999999996</v>
      </c>
    </row>
    <row r="111" spans="2:6">
      <c r="B111" t="s">
        <v>358</v>
      </c>
      <c r="C111">
        <v>6</v>
      </c>
      <c r="D111">
        <v>1800</v>
      </c>
      <c r="E111" s="298">
        <v>10800</v>
      </c>
      <c r="F111" s="298">
        <v>5100</v>
      </c>
    </row>
    <row r="112" spans="2:6">
      <c r="B112" t="s">
        <v>471</v>
      </c>
      <c r="C112">
        <v>200</v>
      </c>
      <c r="D112">
        <v>27.4</v>
      </c>
      <c r="E112" s="298">
        <v>5480</v>
      </c>
      <c r="F112" s="298">
        <v>5100</v>
      </c>
    </row>
    <row r="113" spans="2:6">
      <c r="B113" t="s">
        <v>350</v>
      </c>
      <c r="C113">
        <v>20</v>
      </c>
      <c r="D113">
        <v>550</v>
      </c>
      <c r="E113" s="298">
        <v>11000</v>
      </c>
      <c r="F113" s="298">
        <v>5000</v>
      </c>
    </row>
    <row r="114" spans="2:6">
      <c r="B114" t="s">
        <v>526</v>
      </c>
      <c r="C114">
        <v>2000</v>
      </c>
      <c r="D114">
        <v>5</v>
      </c>
      <c r="E114" s="298">
        <v>10000</v>
      </c>
      <c r="F114" s="298">
        <v>5000</v>
      </c>
    </row>
    <row r="115" spans="2:6">
      <c r="B115" t="s">
        <v>131</v>
      </c>
      <c r="C115">
        <v>40</v>
      </c>
      <c r="D115">
        <v>280</v>
      </c>
      <c r="E115" s="298">
        <v>11200</v>
      </c>
      <c r="F115" s="298">
        <v>4950</v>
      </c>
    </row>
    <row r="116" spans="2:6">
      <c r="B116" t="s">
        <v>301</v>
      </c>
      <c r="C116">
        <v>40</v>
      </c>
      <c r="D116">
        <v>139</v>
      </c>
      <c r="E116" s="298">
        <v>5560</v>
      </c>
      <c r="F116" s="298">
        <v>4800</v>
      </c>
    </row>
    <row r="117" spans="2:6">
      <c r="B117" t="s">
        <v>289</v>
      </c>
      <c r="C117">
        <v>300</v>
      </c>
      <c r="D117">
        <v>14.98</v>
      </c>
      <c r="E117" s="298">
        <v>4494</v>
      </c>
      <c r="F117" s="298">
        <v>4708</v>
      </c>
    </row>
    <row r="118" spans="2:6">
      <c r="B118" t="s">
        <v>492</v>
      </c>
      <c r="C118">
        <v>1000</v>
      </c>
      <c r="D118">
        <v>8.83</v>
      </c>
      <c r="E118" s="298">
        <v>8830</v>
      </c>
      <c r="F118" s="298">
        <v>4415</v>
      </c>
    </row>
    <row r="119" spans="2:6">
      <c r="B119" t="s">
        <v>422</v>
      </c>
      <c r="C119">
        <v>800</v>
      </c>
      <c r="D119">
        <v>5.35</v>
      </c>
      <c r="E119" s="298">
        <v>4280</v>
      </c>
      <c r="F119" s="298">
        <v>4280</v>
      </c>
    </row>
    <row r="120" spans="2:6">
      <c r="B120" t="s">
        <v>121</v>
      </c>
      <c r="C120">
        <v>7</v>
      </c>
      <c r="D120">
        <v>600</v>
      </c>
      <c r="E120" s="298">
        <v>4200</v>
      </c>
      <c r="F120" s="298">
        <v>4200</v>
      </c>
    </row>
    <row r="121" spans="2:6">
      <c r="B121" t="s">
        <v>553</v>
      </c>
      <c r="C121">
        <v>15</v>
      </c>
      <c r="D121">
        <v>900</v>
      </c>
      <c r="E121" s="298">
        <v>13500</v>
      </c>
      <c r="F121" s="298">
        <v>4200</v>
      </c>
    </row>
    <row r="122" spans="2:6">
      <c r="B122" t="s">
        <v>709</v>
      </c>
      <c r="C122">
        <v>30</v>
      </c>
      <c r="D122">
        <v>190</v>
      </c>
      <c r="E122" s="298">
        <v>5700</v>
      </c>
      <c r="F122" s="298">
        <v>3800</v>
      </c>
    </row>
    <row r="123" spans="2:6">
      <c r="B123" t="s">
        <v>933</v>
      </c>
      <c r="C123">
        <v>20</v>
      </c>
      <c r="D123">
        <v>201</v>
      </c>
      <c r="E123" s="298">
        <v>4020</v>
      </c>
      <c r="F123" s="298">
        <v>3800</v>
      </c>
    </row>
    <row r="124" spans="2:6">
      <c r="B124" t="s">
        <v>487</v>
      </c>
      <c r="C124">
        <v>45</v>
      </c>
      <c r="D124">
        <v>400</v>
      </c>
      <c r="E124" s="298">
        <v>18000</v>
      </c>
      <c r="F124" s="298">
        <v>3755.7</v>
      </c>
    </row>
    <row r="125" spans="2:6">
      <c r="B125" t="s">
        <v>370</v>
      </c>
      <c r="C125">
        <v>5</v>
      </c>
      <c r="D125">
        <v>800</v>
      </c>
      <c r="E125" s="298">
        <v>4000</v>
      </c>
      <c r="F125" s="298">
        <v>3750</v>
      </c>
    </row>
    <row r="126" spans="2:6">
      <c r="B126" t="s">
        <v>761</v>
      </c>
      <c r="C126">
        <v>40</v>
      </c>
      <c r="D126">
        <v>200</v>
      </c>
      <c r="E126" s="298">
        <v>8000</v>
      </c>
      <c r="F126" s="298">
        <v>3600</v>
      </c>
    </row>
    <row r="127" spans="2:6">
      <c r="B127" t="s">
        <v>468</v>
      </c>
      <c r="C127">
        <v>180</v>
      </c>
      <c r="D127">
        <v>27</v>
      </c>
      <c r="E127" s="298">
        <v>4860</v>
      </c>
      <c r="F127" s="298">
        <v>3564</v>
      </c>
    </row>
    <row r="128" spans="2:6">
      <c r="B128" t="s">
        <v>330</v>
      </c>
      <c r="C128">
        <v>400</v>
      </c>
      <c r="D128">
        <v>16.399999999999999</v>
      </c>
      <c r="E128" s="298">
        <v>6559.9999999999991</v>
      </c>
      <c r="F128" s="298">
        <v>3279.9999999999995</v>
      </c>
    </row>
    <row r="129" spans="2:6">
      <c r="B129" t="s">
        <v>773</v>
      </c>
      <c r="C129">
        <v>300</v>
      </c>
      <c r="D129">
        <v>15</v>
      </c>
      <c r="E129" s="298">
        <v>4500</v>
      </c>
      <c r="F129" s="298">
        <v>3000</v>
      </c>
    </row>
    <row r="130" spans="2:6">
      <c r="B130" t="s">
        <v>403</v>
      </c>
      <c r="C130">
        <v>12</v>
      </c>
      <c r="D130">
        <v>720</v>
      </c>
      <c r="E130" s="298">
        <v>8640</v>
      </c>
      <c r="F130" s="298">
        <v>2720</v>
      </c>
    </row>
    <row r="131" spans="2:6">
      <c r="B131" t="s">
        <v>769</v>
      </c>
      <c r="C131">
        <v>400</v>
      </c>
      <c r="D131">
        <v>18.010000000000002</v>
      </c>
      <c r="E131" s="298">
        <v>7204.0000000000009</v>
      </c>
      <c r="F131" s="298">
        <v>2600</v>
      </c>
    </row>
    <row r="132" spans="2:6">
      <c r="B132" t="s">
        <v>444</v>
      </c>
      <c r="C132">
        <v>60</v>
      </c>
      <c r="D132">
        <v>27.4</v>
      </c>
      <c r="E132" s="298">
        <v>1644</v>
      </c>
      <c r="F132" s="298">
        <v>2510</v>
      </c>
    </row>
    <row r="133" spans="2:6">
      <c r="B133" t="s">
        <v>608</v>
      </c>
      <c r="C133">
        <v>10</v>
      </c>
      <c r="D133">
        <v>20</v>
      </c>
      <c r="E133" s="298">
        <v>200</v>
      </c>
      <c r="F133" s="298">
        <v>2480</v>
      </c>
    </row>
    <row r="134" spans="2:6">
      <c r="B134" t="s">
        <v>500</v>
      </c>
      <c r="C134">
        <v>10</v>
      </c>
      <c r="D134">
        <v>250</v>
      </c>
      <c r="E134" s="298">
        <v>2500</v>
      </c>
      <c r="F134" s="298">
        <v>2461</v>
      </c>
    </row>
    <row r="135" spans="2:6">
      <c r="B135" t="s">
        <v>854</v>
      </c>
      <c r="C135">
        <v>10</v>
      </c>
      <c r="D135">
        <v>280</v>
      </c>
      <c r="E135" s="298">
        <v>2800</v>
      </c>
      <c r="F135" s="298">
        <v>2400</v>
      </c>
    </row>
    <row r="136" spans="2:6">
      <c r="B136" t="s">
        <v>979</v>
      </c>
      <c r="C136">
        <v>20</v>
      </c>
      <c r="D136">
        <v>203</v>
      </c>
      <c r="E136" s="298">
        <v>4060</v>
      </c>
      <c r="F136" s="298">
        <v>2030</v>
      </c>
    </row>
    <row r="137" spans="2:6">
      <c r="B137" t="s">
        <v>521</v>
      </c>
      <c r="C137">
        <v>12</v>
      </c>
      <c r="D137">
        <v>400</v>
      </c>
      <c r="E137" s="298">
        <v>4800</v>
      </c>
      <c r="F137" s="298">
        <v>1920</v>
      </c>
    </row>
    <row r="138" spans="2:6">
      <c r="B138" t="s">
        <v>834</v>
      </c>
      <c r="C138">
        <v>0</v>
      </c>
      <c r="D138">
        <v>800</v>
      </c>
      <c r="E138" s="298">
        <v>0</v>
      </c>
      <c r="F138" s="298">
        <v>1797.6000000000001</v>
      </c>
    </row>
    <row r="139" spans="2:6">
      <c r="B139" t="s">
        <v>586</v>
      </c>
      <c r="C139">
        <v>100</v>
      </c>
      <c r="D139">
        <v>16.98</v>
      </c>
      <c r="E139" s="298">
        <v>1698</v>
      </c>
      <c r="F139" s="298">
        <v>1698</v>
      </c>
    </row>
    <row r="140" spans="2:6">
      <c r="B140" t="s">
        <v>578</v>
      </c>
      <c r="C140">
        <v>10</v>
      </c>
      <c r="D140">
        <v>193</v>
      </c>
      <c r="E140" s="298">
        <v>1930</v>
      </c>
      <c r="F140" s="298">
        <v>1500</v>
      </c>
    </row>
    <row r="141" spans="2:6">
      <c r="B141" t="s">
        <v>126</v>
      </c>
      <c r="C141">
        <v>200</v>
      </c>
      <c r="D141">
        <v>14.45</v>
      </c>
      <c r="E141" s="298">
        <v>2890</v>
      </c>
      <c r="F141" s="298">
        <v>1445</v>
      </c>
    </row>
    <row r="142" spans="2:6">
      <c r="B142" t="s">
        <v>677</v>
      </c>
      <c r="C142">
        <v>500</v>
      </c>
      <c r="D142">
        <v>5.35</v>
      </c>
      <c r="E142" s="298">
        <v>2675</v>
      </c>
      <c r="F142" s="298">
        <v>1320</v>
      </c>
    </row>
    <row r="143" spans="2:6">
      <c r="B143" t="s">
        <v>414</v>
      </c>
      <c r="C143">
        <v>100</v>
      </c>
      <c r="D143">
        <v>14</v>
      </c>
      <c r="E143" s="298">
        <v>1400</v>
      </c>
      <c r="F143" s="298">
        <v>1300</v>
      </c>
    </row>
    <row r="144" spans="2:6">
      <c r="B144" t="s">
        <v>215</v>
      </c>
      <c r="C144">
        <v>200</v>
      </c>
      <c r="D144">
        <v>14.5</v>
      </c>
      <c r="E144" s="298">
        <v>2900</v>
      </c>
      <c r="F144" s="298">
        <v>1250</v>
      </c>
    </row>
    <row r="145" spans="2:6">
      <c r="B145" t="s">
        <v>475</v>
      </c>
      <c r="C145">
        <v>1</v>
      </c>
      <c r="D145">
        <v>1200</v>
      </c>
      <c r="E145" s="298">
        <v>1200</v>
      </c>
      <c r="F145" s="298">
        <v>1200</v>
      </c>
    </row>
    <row r="146" spans="2:6">
      <c r="B146" t="s">
        <v>466</v>
      </c>
      <c r="C146">
        <v>40</v>
      </c>
      <c r="D146">
        <v>32.1</v>
      </c>
      <c r="E146" s="298">
        <v>1284</v>
      </c>
      <c r="F146" s="298">
        <v>1180</v>
      </c>
    </row>
    <row r="147" spans="2:6">
      <c r="B147" t="s">
        <v>211</v>
      </c>
      <c r="C147">
        <v>200</v>
      </c>
      <c r="D147">
        <v>11.5</v>
      </c>
      <c r="E147" s="298">
        <v>2300</v>
      </c>
      <c r="F147" s="298">
        <v>1150</v>
      </c>
    </row>
    <row r="148" spans="2:6">
      <c r="B148" t="s">
        <v>786</v>
      </c>
      <c r="C148">
        <v>15</v>
      </c>
      <c r="D148">
        <v>56</v>
      </c>
      <c r="E148" s="298">
        <v>840</v>
      </c>
      <c r="F148" s="298">
        <v>1100</v>
      </c>
    </row>
    <row r="149" spans="2:6">
      <c r="B149" t="s">
        <v>986</v>
      </c>
      <c r="C149">
        <v>200</v>
      </c>
      <c r="D149">
        <v>5.36</v>
      </c>
      <c r="E149" s="298">
        <v>1072</v>
      </c>
      <c r="F149" s="298">
        <v>1070</v>
      </c>
    </row>
    <row r="150" spans="2:6">
      <c r="B150" t="s">
        <v>496</v>
      </c>
      <c r="C150">
        <v>17</v>
      </c>
      <c r="D150">
        <v>180</v>
      </c>
      <c r="E150" s="298">
        <v>3060</v>
      </c>
      <c r="F150" s="298">
        <v>1027.1999999999998</v>
      </c>
    </row>
    <row r="151" spans="2:6">
      <c r="B151" t="s">
        <v>955</v>
      </c>
      <c r="C151">
        <v>200</v>
      </c>
      <c r="D151">
        <v>10.17</v>
      </c>
      <c r="E151" s="298">
        <v>2034</v>
      </c>
      <c r="F151" s="298">
        <v>1017</v>
      </c>
    </row>
    <row r="152" spans="2:6">
      <c r="B152" t="s">
        <v>390</v>
      </c>
      <c r="C152">
        <v>100</v>
      </c>
      <c r="D152">
        <v>11.040000000000001</v>
      </c>
      <c r="E152" s="298">
        <v>1104</v>
      </c>
      <c r="F152" s="298">
        <v>1000</v>
      </c>
    </row>
    <row r="153" spans="2:6">
      <c r="B153" t="s">
        <v>705</v>
      </c>
      <c r="C153">
        <v>100</v>
      </c>
      <c r="D153">
        <v>9.73</v>
      </c>
      <c r="E153" s="298">
        <v>973</v>
      </c>
      <c r="F153" s="298">
        <v>972.00000000000011</v>
      </c>
    </row>
    <row r="154" spans="2:6">
      <c r="B154" t="s">
        <v>612</v>
      </c>
      <c r="C154">
        <v>10</v>
      </c>
      <c r="D154">
        <v>290</v>
      </c>
      <c r="E154" s="298">
        <v>2900</v>
      </c>
      <c r="F154" s="298">
        <v>620</v>
      </c>
    </row>
    <row r="155" spans="2:6">
      <c r="B155" t="s">
        <v>842</v>
      </c>
      <c r="C155">
        <v>10</v>
      </c>
      <c r="D155">
        <v>85.6</v>
      </c>
      <c r="E155" s="298">
        <v>856</v>
      </c>
      <c r="F155" s="298">
        <v>428</v>
      </c>
    </row>
    <row r="156" spans="2:6">
      <c r="B156" t="s">
        <v>757</v>
      </c>
      <c r="C156">
        <v>12</v>
      </c>
      <c r="D156">
        <v>26.75</v>
      </c>
      <c r="E156" s="298">
        <v>321</v>
      </c>
      <c r="F156" s="298">
        <v>321</v>
      </c>
    </row>
    <row r="157" spans="2:6">
      <c r="B157" t="s">
        <v>906</v>
      </c>
      <c r="C157">
        <v>30</v>
      </c>
      <c r="D157">
        <v>17</v>
      </c>
      <c r="E157" s="298">
        <v>510</v>
      </c>
      <c r="F157" s="298">
        <v>306.90000000000003</v>
      </c>
    </row>
    <row r="158" spans="2:6">
      <c r="B158" t="s">
        <v>386</v>
      </c>
      <c r="C158">
        <v>5</v>
      </c>
      <c r="D158">
        <v>70</v>
      </c>
      <c r="E158" s="298">
        <v>350</v>
      </c>
      <c r="F158" s="298">
        <v>300</v>
      </c>
    </row>
    <row r="159" spans="2:6">
      <c r="B159" t="s">
        <v>936</v>
      </c>
      <c r="C159">
        <v>20</v>
      </c>
      <c r="D159">
        <v>15</v>
      </c>
      <c r="E159" s="298">
        <v>300</v>
      </c>
      <c r="F159" s="298">
        <v>300</v>
      </c>
    </row>
    <row r="160" spans="2:6">
      <c r="B160" t="s">
        <v>236</v>
      </c>
      <c r="C160">
        <v>50</v>
      </c>
      <c r="D160">
        <v>6.51</v>
      </c>
      <c r="E160" s="298">
        <v>325.5</v>
      </c>
      <c r="F160" s="298">
        <v>267.5</v>
      </c>
    </row>
    <row r="161" spans="2:6">
      <c r="B161" t="s">
        <v>858</v>
      </c>
      <c r="C161">
        <v>4</v>
      </c>
      <c r="D161">
        <v>215</v>
      </c>
      <c r="E161" s="298">
        <v>860</v>
      </c>
      <c r="F161" s="298">
        <v>152</v>
      </c>
    </row>
    <row r="162" spans="2:6">
      <c r="B162" t="s">
        <v>878</v>
      </c>
      <c r="C162">
        <v>20</v>
      </c>
      <c r="D162">
        <v>10</v>
      </c>
      <c r="E162" s="298">
        <v>200</v>
      </c>
      <c r="F162" s="298">
        <v>100</v>
      </c>
    </row>
    <row r="163" spans="2:6">
      <c r="B163" t="s">
        <v>82</v>
      </c>
      <c r="C163">
        <v>0</v>
      </c>
      <c r="D163">
        <v>175</v>
      </c>
      <c r="E163" s="298">
        <v>0</v>
      </c>
      <c r="F163" s="298">
        <v>0</v>
      </c>
    </row>
    <row r="164" spans="2:6">
      <c r="B164" t="s">
        <v>93</v>
      </c>
      <c r="C164">
        <v>50</v>
      </c>
      <c r="D164">
        <v>128.4</v>
      </c>
      <c r="E164" s="298">
        <v>6420</v>
      </c>
      <c r="F164" s="298">
        <v>0</v>
      </c>
    </row>
    <row r="165" spans="2:6">
      <c r="B165" t="s">
        <v>207</v>
      </c>
      <c r="C165">
        <v>100</v>
      </c>
      <c r="D165">
        <v>18</v>
      </c>
      <c r="E165" s="298">
        <v>1800</v>
      </c>
      <c r="F165" s="298">
        <v>0</v>
      </c>
    </row>
    <row r="166" spans="2:6">
      <c r="B166" t="s">
        <v>257</v>
      </c>
      <c r="C166">
        <v>0</v>
      </c>
      <c r="D166">
        <v>21.4</v>
      </c>
      <c r="E166" s="298">
        <v>0</v>
      </c>
      <c r="F166" s="298">
        <v>0</v>
      </c>
    </row>
    <row r="167" spans="2:6">
      <c r="B167" t="s">
        <v>297</v>
      </c>
      <c r="C167">
        <v>0</v>
      </c>
      <c r="D167">
        <v>225</v>
      </c>
      <c r="E167" s="298">
        <v>0</v>
      </c>
      <c r="F167" s="298">
        <v>0</v>
      </c>
    </row>
    <row r="168" spans="2:6">
      <c r="B168" t="s">
        <v>321</v>
      </c>
      <c r="C168">
        <v>200</v>
      </c>
      <c r="D168">
        <v>29.25</v>
      </c>
      <c r="E168" s="298">
        <v>5850</v>
      </c>
      <c r="F168" s="298">
        <v>0</v>
      </c>
    </row>
    <row r="169" spans="2:6">
      <c r="B169" t="s">
        <v>346</v>
      </c>
      <c r="C169">
        <v>10</v>
      </c>
      <c r="D169">
        <v>420</v>
      </c>
      <c r="E169" s="298">
        <v>4200</v>
      </c>
      <c r="F169" s="298">
        <v>0</v>
      </c>
    </row>
    <row r="170" spans="2:6">
      <c r="B170" t="s">
        <v>395</v>
      </c>
      <c r="C170">
        <v>600</v>
      </c>
      <c r="D170">
        <v>18.190000000000001</v>
      </c>
      <c r="E170" s="298">
        <v>10914</v>
      </c>
      <c r="F170" s="298">
        <v>0</v>
      </c>
    </row>
    <row r="171" spans="2:6">
      <c r="B171" t="s">
        <v>437</v>
      </c>
      <c r="C171">
        <v>0</v>
      </c>
      <c r="D171">
        <v>27.4</v>
      </c>
      <c r="E171" s="298">
        <v>0</v>
      </c>
      <c r="F171" s="298">
        <v>0</v>
      </c>
    </row>
    <row r="172" spans="2:6">
      <c r="B172" t="s">
        <v>448</v>
      </c>
      <c r="C172">
        <v>0</v>
      </c>
      <c r="D172">
        <v>27.4</v>
      </c>
      <c r="E172" s="298">
        <v>0</v>
      </c>
      <c r="F172" s="298">
        <v>0</v>
      </c>
    </row>
    <row r="173" spans="2:6">
      <c r="B173" t="s">
        <v>452</v>
      </c>
      <c r="C173">
        <v>0</v>
      </c>
      <c r="D173">
        <v>27.4</v>
      </c>
      <c r="E173" s="298">
        <v>0</v>
      </c>
      <c r="F173" s="298">
        <v>0</v>
      </c>
    </row>
    <row r="174" spans="2:6">
      <c r="B174" t="s">
        <v>456</v>
      </c>
      <c r="C174">
        <v>200</v>
      </c>
      <c r="D174">
        <v>32.1</v>
      </c>
      <c r="E174" s="298">
        <v>6420</v>
      </c>
      <c r="F174" s="298">
        <v>0</v>
      </c>
    </row>
    <row r="175" spans="2:6">
      <c r="B175" t="s">
        <v>459</v>
      </c>
      <c r="C175">
        <v>0</v>
      </c>
      <c r="D175">
        <v>27.4</v>
      </c>
      <c r="E175" s="298">
        <v>0</v>
      </c>
      <c r="F175" s="298">
        <v>0</v>
      </c>
    </row>
    <row r="176" spans="2:6">
      <c r="B176" t="s">
        <v>517</v>
      </c>
      <c r="C176">
        <v>20</v>
      </c>
      <c r="D176">
        <v>35.1</v>
      </c>
      <c r="E176" s="298">
        <v>702</v>
      </c>
      <c r="F176" s="298">
        <v>0</v>
      </c>
    </row>
    <row r="177" spans="2:6">
      <c r="B177" t="s">
        <v>549</v>
      </c>
      <c r="C177">
        <v>0</v>
      </c>
      <c r="D177">
        <v>35.479999999999997</v>
      </c>
      <c r="E177" s="298">
        <v>0</v>
      </c>
      <c r="F177" s="298">
        <v>0</v>
      </c>
    </row>
    <row r="178" spans="2:6">
      <c r="B178" t="s">
        <v>570</v>
      </c>
      <c r="C178">
        <v>0</v>
      </c>
      <c r="D178">
        <v>7</v>
      </c>
      <c r="E178" s="298">
        <v>0</v>
      </c>
      <c r="F178" s="298">
        <v>0</v>
      </c>
    </row>
    <row r="179" spans="2:6">
      <c r="B179" t="s">
        <v>582</v>
      </c>
      <c r="C179">
        <v>50</v>
      </c>
      <c r="D179">
        <v>620</v>
      </c>
      <c r="E179" s="298">
        <v>31000</v>
      </c>
      <c r="F179" s="298">
        <v>0</v>
      </c>
    </row>
    <row r="180" spans="2:6">
      <c r="B180" t="s">
        <v>590</v>
      </c>
      <c r="C180">
        <v>0</v>
      </c>
      <c r="D180">
        <v>900</v>
      </c>
      <c r="E180" s="298">
        <v>0</v>
      </c>
      <c r="F180" s="298">
        <v>0</v>
      </c>
    </row>
    <row r="181" spans="2:6">
      <c r="B181" t="s">
        <v>593</v>
      </c>
      <c r="C181">
        <v>2</v>
      </c>
      <c r="D181">
        <v>1305</v>
      </c>
      <c r="E181" s="298">
        <v>2610</v>
      </c>
      <c r="F181" s="298">
        <v>0</v>
      </c>
    </row>
    <row r="182" spans="2:6">
      <c r="B182" t="s">
        <v>651</v>
      </c>
      <c r="C182">
        <v>0</v>
      </c>
      <c r="D182">
        <v>53</v>
      </c>
      <c r="E182" s="298">
        <v>0</v>
      </c>
      <c r="F182" s="298">
        <v>0</v>
      </c>
    </row>
    <row r="183" spans="2:6">
      <c r="B183" t="s">
        <v>732</v>
      </c>
      <c r="C183">
        <v>5</v>
      </c>
      <c r="D183">
        <v>130</v>
      </c>
      <c r="E183" s="298">
        <v>650</v>
      </c>
      <c r="F183" s="298">
        <v>0</v>
      </c>
    </row>
    <row r="184" spans="2:6">
      <c r="B184" t="s">
        <v>740</v>
      </c>
      <c r="C184">
        <v>2</v>
      </c>
      <c r="D184">
        <v>2700</v>
      </c>
      <c r="E184" s="298">
        <v>5400</v>
      </c>
      <c r="F184" s="298">
        <v>0</v>
      </c>
    </row>
    <row r="185" spans="2:6">
      <c r="B185" t="s">
        <v>797</v>
      </c>
      <c r="C185">
        <v>0</v>
      </c>
      <c r="D185">
        <v>347.75</v>
      </c>
      <c r="E185" s="298">
        <v>0</v>
      </c>
      <c r="F185" s="298">
        <v>0</v>
      </c>
    </row>
    <row r="186" spans="2:6">
      <c r="B186" t="s">
        <v>801</v>
      </c>
      <c r="C186">
        <v>0</v>
      </c>
      <c r="D186">
        <v>100</v>
      </c>
      <c r="E186" s="298">
        <v>0</v>
      </c>
      <c r="F186" s="298">
        <v>0</v>
      </c>
    </row>
    <row r="187" spans="2:6">
      <c r="B187" t="s">
        <v>809</v>
      </c>
      <c r="C187">
        <v>5</v>
      </c>
      <c r="D187">
        <v>810</v>
      </c>
      <c r="E187" s="298">
        <v>4050</v>
      </c>
      <c r="F187" s="298">
        <v>0</v>
      </c>
    </row>
    <row r="188" spans="2:6">
      <c r="B188" t="s">
        <v>851</v>
      </c>
      <c r="C188">
        <v>3</v>
      </c>
      <c r="D188">
        <v>279</v>
      </c>
      <c r="E188" s="298">
        <v>837</v>
      </c>
      <c r="F188" s="298">
        <v>0</v>
      </c>
    </row>
    <row r="189" spans="2:6">
      <c r="B189" t="s">
        <v>917</v>
      </c>
      <c r="C189">
        <v>6</v>
      </c>
      <c r="D189">
        <v>490</v>
      </c>
      <c r="E189" s="298">
        <v>2940</v>
      </c>
      <c r="F189" s="298">
        <v>0</v>
      </c>
    </row>
    <row r="190" spans="2:6">
      <c r="B190" t="s">
        <v>929</v>
      </c>
      <c r="C190">
        <v>5</v>
      </c>
      <c r="D190">
        <v>500</v>
      </c>
      <c r="E190" s="298">
        <v>2500</v>
      </c>
      <c r="F190" s="298">
        <v>0</v>
      </c>
    </row>
    <row r="191" spans="2:6">
      <c r="B191" t="s">
        <v>939</v>
      </c>
      <c r="C191">
        <v>0</v>
      </c>
      <c r="D191">
        <v>8.8000000000000007</v>
      </c>
      <c r="E191" s="298">
        <v>0</v>
      </c>
      <c r="F191" s="298">
        <v>0</v>
      </c>
    </row>
    <row r="192" spans="2:6">
      <c r="B192" t="s">
        <v>951</v>
      </c>
      <c r="C192">
        <v>200</v>
      </c>
      <c r="D192">
        <v>480</v>
      </c>
      <c r="E192" s="298">
        <v>96000</v>
      </c>
      <c r="F192" s="298">
        <v>0</v>
      </c>
    </row>
    <row r="193" spans="2:6">
      <c r="B193" t="s">
        <v>959</v>
      </c>
      <c r="C193">
        <v>0</v>
      </c>
      <c r="D193">
        <v>8</v>
      </c>
      <c r="E193" s="298">
        <v>0</v>
      </c>
      <c r="F193" s="298">
        <v>0</v>
      </c>
    </row>
    <row r="194" spans="2:6">
      <c r="B194" t="s">
        <v>994</v>
      </c>
      <c r="C194">
        <v>20</v>
      </c>
      <c r="D194">
        <v>375</v>
      </c>
      <c r="E194" s="298">
        <v>7500</v>
      </c>
      <c r="F194" s="298">
        <v>0</v>
      </c>
    </row>
    <row r="195" spans="2:6">
      <c r="B195" t="s">
        <v>999</v>
      </c>
      <c r="C195">
        <v>4</v>
      </c>
      <c r="D195">
        <v>1210</v>
      </c>
      <c r="E195" s="298">
        <v>4840</v>
      </c>
      <c r="F195" s="298">
        <v>0</v>
      </c>
    </row>
    <row r="196" spans="2:6">
      <c r="B196" t="s">
        <v>1015</v>
      </c>
      <c r="C196">
        <v>180</v>
      </c>
      <c r="D196">
        <v>175</v>
      </c>
      <c r="E196" s="298">
        <v>31500</v>
      </c>
    </row>
    <row r="197" spans="2:6">
      <c r="B197" t="s">
        <v>1023</v>
      </c>
      <c r="C197">
        <v>4000</v>
      </c>
      <c r="D197">
        <v>20</v>
      </c>
      <c r="E197" s="298">
        <v>80000</v>
      </c>
    </row>
    <row r="198" spans="2:6">
      <c r="B198" t="s">
        <v>1027</v>
      </c>
      <c r="C198">
        <v>4000</v>
      </c>
      <c r="D198">
        <v>5.5</v>
      </c>
      <c r="E198" s="298">
        <v>22000</v>
      </c>
    </row>
    <row r="199" spans="2:6">
      <c r="B199" t="s">
        <v>1031</v>
      </c>
      <c r="C199">
        <v>50</v>
      </c>
      <c r="D199">
        <v>81</v>
      </c>
      <c r="E199" s="298">
        <v>4050</v>
      </c>
    </row>
    <row r="200" spans="2:6">
      <c r="B200" t="s">
        <v>1035</v>
      </c>
      <c r="C200">
        <v>480</v>
      </c>
      <c r="D200">
        <v>150</v>
      </c>
      <c r="E200" s="298">
        <v>72000</v>
      </c>
    </row>
    <row r="201" spans="2:6">
      <c r="B201" t="s">
        <v>1039</v>
      </c>
      <c r="C201">
        <v>600</v>
      </c>
      <c r="D201">
        <v>120.9</v>
      </c>
      <c r="E201" s="298">
        <v>72540</v>
      </c>
    </row>
    <row r="202" spans="2:6">
      <c r="B202" t="s">
        <v>1043</v>
      </c>
      <c r="C202">
        <v>160</v>
      </c>
      <c r="D202">
        <v>150</v>
      </c>
      <c r="E202" s="298">
        <v>24000</v>
      </c>
    </row>
    <row r="203" spans="2:6">
      <c r="B203" t="s">
        <v>1047</v>
      </c>
      <c r="C203">
        <v>1200</v>
      </c>
      <c r="D203">
        <v>250</v>
      </c>
      <c r="E203" s="298">
        <v>300000</v>
      </c>
    </row>
    <row r="204" spans="2:6">
      <c r="B204" t="s">
        <v>1051</v>
      </c>
      <c r="C204">
        <v>50</v>
      </c>
      <c r="D204">
        <v>12.84</v>
      </c>
      <c r="E204" s="298">
        <v>642</v>
      </c>
    </row>
    <row r="205" spans="2:6">
      <c r="B205" t="s">
        <v>1056</v>
      </c>
      <c r="C205">
        <v>9000</v>
      </c>
      <c r="D205">
        <v>9</v>
      </c>
      <c r="E205" s="298">
        <v>81000</v>
      </c>
    </row>
    <row r="206" spans="2:6">
      <c r="B206" t="s">
        <v>1060</v>
      </c>
      <c r="C206">
        <v>40</v>
      </c>
      <c r="D206">
        <v>240</v>
      </c>
      <c r="E206" s="298">
        <v>9600</v>
      </c>
    </row>
    <row r="207" spans="2:6">
      <c r="B207" t="s">
        <v>1064</v>
      </c>
      <c r="C207">
        <v>550</v>
      </c>
      <c r="D207">
        <v>220</v>
      </c>
      <c r="E207" s="298">
        <v>121000</v>
      </c>
    </row>
    <row r="208" spans="2:6">
      <c r="B208" t="s">
        <v>1068</v>
      </c>
      <c r="C208">
        <v>12</v>
      </c>
      <c r="D208">
        <v>360</v>
      </c>
      <c r="E208" s="298">
        <v>4320</v>
      </c>
    </row>
    <row r="209" spans="2:5">
      <c r="B209" t="s">
        <v>1072</v>
      </c>
      <c r="C209">
        <v>15</v>
      </c>
      <c r="D209">
        <v>430</v>
      </c>
      <c r="E209" s="298">
        <v>6450</v>
      </c>
    </row>
    <row r="210" spans="2:5">
      <c r="B210" t="s">
        <v>1076</v>
      </c>
      <c r="C210">
        <v>50</v>
      </c>
      <c r="D210">
        <v>580</v>
      </c>
      <c r="E210" s="298">
        <v>29000</v>
      </c>
    </row>
    <row r="211" spans="2:5">
      <c r="B211" t="s">
        <v>1080</v>
      </c>
      <c r="C211">
        <v>0</v>
      </c>
      <c r="D211">
        <v>8</v>
      </c>
      <c r="E211" s="298">
        <v>0</v>
      </c>
    </row>
    <row r="212" spans="2:5">
      <c r="B212" t="s">
        <v>1084</v>
      </c>
      <c r="C212">
        <v>100</v>
      </c>
      <c r="D212">
        <v>32</v>
      </c>
      <c r="E212" s="298">
        <v>3200</v>
      </c>
    </row>
    <row r="213" spans="2:5">
      <c r="B213" t="s">
        <v>1088</v>
      </c>
      <c r="C213">
        <v>32</v>
      </c>
      <c r="D213">
        <v>278.2</v>
      </c>
      <c r="E213" s="298">
        <v>8902.4</v>
      </c>
    </row>
    <row r="214" spans="2:5">
      <c r="B214" t="s">
        <v>1092</v>
      </c>
      <c r="C214">
        <v>150</v>
      </c>
      <c r="D214">
        <v>490</v>
      </c>
      <c r="E214" s="298">
        <v>73500</v>
      </c>
    </row>
    <row r="215" spans="2:5">
      <c r="B215" t="s">
        <v>1096</v>
      </c>
      <c r="C215">
        <v>100</v>
      </c>
      <c r="D215">
        <v>100</v>
      </c>
      <c r="E215" s="298">
        <v>10000</v>
      </c>
    </row>
    <row r="216" spans="2:5">
      <c r="B216" t="s">
        <v>1100</v>
      </c>
      <c r="C216">
        <v>20</v>
      </c>
      <c r="D216">
        <v>647.5</v>
      </c>
      <c r="E216" s="298">
        <v>12950</v>
      </c>
    </row>
    <row r="217" spans="2:5">
      <c r="B217" t="s">
        <v>1112</v>
      </c>
      <c r="C217">
        <v>60</v>
      </c>
      <c r="D217">
        <v>100</v>
      </c>
      <c r="E217" s="298">
        <v>6000</v>
      </c>
    </row>
    <row r="218" spans="2:5">
      <c r="B218" t="s">
        <v>1116</v>
      </c>
      <c r="C218">
        <v>180</v>
      </c>
      <c r="D218">
        <v>16.05</v>
      </c>
      <c r="E218" s="298">
        <v>2889</v>
      </c>
    </row>
    <row r="219" spans="2:5">
      <c r="B219" t="s">
        <v>1119</v>
      </c>
      <c r="C219">
        <v>240</v>
      </c>
      <c r="D219">
        <v>107</v>
      </c>
      <c r="E219" s="298">
        <v>25680</v>
      </c>
    </row>
    <row r="220" spans="2:5">
      <c r="B220" t="s">
        <v>1123</v>
      </c>
      <c r="C220">
        <v>3</v>
      </c>
      <c r="D220">
        <v>601</v>
      </c>
      <c r="E220" s="298">
        <v>1803</v>
      </c>
    </row>
    <row r="221" spans="2:5">
      <c r="B221" t="s">
        <v>1131</v>
      </c>
      <c r="C221">
        <v>60</v>
      </c>
      <c r="D221">
        <v>351.62</v>
      </c>
      <c r="E221" s="298">
        <v>21097.200000000001</v>
      </c>
    </row>
    <row r="222" spans="2:5">
      <c r="B222" t="s">
        <v>1139</v>
      </c>
      <c r="C222">
        <v>12</v>
      </c>
      <c r="D222">
        <v>500</v>
      </c>
      <c r="E222" s="298">
        <v>6000</v>
      </c>
    </row>
    <row r="223" spans="2:5">
      <c r="B223" t="s">
        <v>1143</v>
      </c>
      <c r="C223">
        <v>0</v>
      </c>
      <c r="D223">
        <v>1.76</v>
      </c>
      <c r="E223" s="298">
        <v>0</v>
      </c>
    </row>
    <row r="224" spans="2:5">
      <c r="B224" t="s">
        <v>1147</v>
      </c>
      <c r="C224">
        <v>2100</v>
      </c>
      <c r="D224">
        <v>294.25</v>
      </c>
      <c r="E224" s="298">
        <v>617925</v>
      </c>
    </row>
    <row r="225" spans="2:5">
      <c r="B225" t="s">
        <v>1150</v>
      </c>
      <c r="C225">
        <v>200</v>
      </c>
      <c r="D225">
        <v>642</v>
      </c>
      <c r="E225" s="298">
        <v>128400</v>
      </c>
    </row>
    <row r="226" spans="2:5">
      <c r="B226" t="s">
        <v>1154</v>
      </c>
      <c r="C226">
        <v>80</v>
      </c>
      <c r="D226">
        <v>100</v>
      </c>
      <c r="E226" s="298">
        <v>8000</v>
      </c>
    </row>
    <row r="227" spans="2:5">
      <c r="B227" t="s">
        <v>1158</v>
      </c>
      <c r="C227">
        <v>0</v>
      </c>
      <c r="D227">
        <v>4.92</v>
      </c>
      <c r="E227" s="298">
        <v>0</v>
      </c>
    </row>
    <row r="228" spans="2:5">
      <c r="B228" t="s">
        <v>1164</v>
      </c>
      <c r="C228">
        <v>0</v>
      </c>
      <c r="D228">
        <v>6.78</v>
      </c>
      <c r="E228" s="298">
        <v>0</v>
      </c>
    </row>
    <row r="229" spans="2:5">
      <c r="B229" t="s">
        <v>1167</v>
      </c>
      <c r="C229">
        <v>45</v>
      </c>
      <c r="D229">
        <v>120</v>
      </c>
      <c r="E229" s="298">
        <v>5400</v>
      </c>
    </row>
    <row r="230" spans="2:5">
      <c r="B230" t="s">
        <v>1172</v>
      </c>
      <c r="C230">
        <v>50</v>
      </c>
      <c r="D230">
        <v>2000</v>
      </c>
      <c r="E230" s="298">
        <v>100000</v>
      </c>
    </row>
    <row r="231" spans="2:5">
      <c r="B231" t="s">
        <v>1176</v>
      </c>
      <c r="C231">
        <v>100</v>
      </c>
      <c r="D231">
        <v>3330</v>
      </c>
      <c r="E231" s="298">
        <v>333000</v>
      </c>
    </row>
    <row r="232" spans="2:5">
      <c r="B232" t="s">
        <v>1180</v>
      </c>
      <c r="C232">
        <v>60</v>
      </c>
      <c r="D232">
        <v>42</v>
      </c>
      <c r="E232" s="298">
        <v>2520</v>
      </c>
    </row>
    <row r="233" spans="2:5">
      <c r="B233" t="s">
        <v>1184</v>
      </c>
      <c r="C233">
        <v>17</v>
      </c>
      <c r="D233">
        <v>1000</v>
      </c>
      <c r="E233" s="298">
        <v>17000</v>
      </c>
    </row>
    <row r="234" spans="2:5">
      <c r="B234" t="s">
        <v>1188</v>
      </c>
      <c r="C234">
        <v>300</v>
      </c>
      <c r="D234">
        <v>52.5</v>
      </c>
      <c r="E234" s="298">
        <v>15750</v>
      </c>
    </row>
    <row r="235" spans="2:5">
      <c r="B235" t="s">
        <v>1197</v>
      </c>
      <c r="C235">
        <v>600</v>
      </c>
      <c r="D235">
        <v>12</v>
      </c>
      <c r="E235" s="298">
        <v>7200</v>
      </c>
    </row>
    <row r="236" spans="2:5">
      <c r="B236" t="s">
        <v>1201</v>
      </c>
      <c r="C236">
        <v>5</v>
      </c>
      <c r="D236">
        <v>130</v>
      </c>
      <c r="E236" s="298">
        <v>650</v>
      </c>
    </row>
    <row r="237" spans="2:5">
      <c r="B237" t="s">
        <v>1205</v>
      </c>
      <c r="C237">
        <v>50</v>
      </c>
      <c r="D237">
        <v>50</v>
      </c>
      <c r="E237" s="298">
        <v>2500</v>
      </c>
    </row>
    <row r="238" spans="2:5">
      <c r="B238" t="s">
        <v>1214</v>
      </c>
      <c r="C238">
        <v>50</v>
      </c>
      <c r="D238">
        <v>2140</v>
      </c>
      <c r="E238" s="298">
        <v>107000</v>
      </c>
    </row>
    <row r="239" spans="2:5">
      <c r="B239" t="s">
        <v>1218</v>
      </c>
      <c r="C239">
        <v>500</v>
      </c>
      <c r="D239">
        <v>25</v>
      </c>
      <c r="E239" s="298">
        <v>12500</v>
      </c>
    </row>
    <row r="240" spans="2:5">
      <c r="B240" t="s">
        <v>1222</v>
      </c>
      <c r="C240">
        <v>900</v>
      </c>
      <c r="D240">
        <v>18</v>
      </c>
      <c r="E240" s="298">
        <v>16200</v>
      </c>
    </row>
    <row r="241" spans="2:5">
      <c r="B241" t="s">
        <v>1227</v>
      </c>
      <c r="C241">
        <v>100</v>
      </c>
      <c r="D241">
        <v>390</v>
      </c>
      <c r="E241" s="298">
        <v>39000</v>
      </c>
    </row>
    <row r="242" spans="2:5">
      <c r="B242" t="s">
        <v>1240</v>
      </c>
      <c r="C242">
        <v>700</v>
      </c>
      <c r="D242">
        <v>33</v>
      </c>
      <c r="E242" s="298">
        <v>23100</v>
      </c>
    </row>
    <row r="243" spans="2:5">
      <c r="B243" t="s">
        <v>1247</v>
      </c>
      <c r="C243">
        <v>35</v>
      </c>
      <c r="D243">
        <v>860.28</v>
      </c>
      <c r="E243" s="298">
        <v>30109.8</v>
      </c>
    </row>
    <row r="244" spans="2:5">
      <c r="B244" t="s">
        <v>1251</v>
      </c>
      <c r="C244">
        <v>20000</v>
      </c>
      <c r="D244">
        <v>4.1100000000000003</v>
      </c>
      <c r="E244" s="298">
        <v>82200</v>
      </c>
    </row>
    <row r="245" spans="2:5">
      <c r="B245" t="s">
        <v>1254</v>
      </c>
      <c r="C245">
        <v>200</v>
      </c>
      <c r="D245">
        <v>25.1</v>
      </c>
      <c r="E245" s="298">
        <v>5020</v>
      </c>
    </row>
    <row r="246" spans="2:5">
      <c r="B246" t="s">
        <v>1258</v>
      </c>
      <c r="C246">
        <v>2</v>
      </c>
      <c r="D246">
        <v>5400</v>
      </c>
      <c r="E246" s="298">
        <v>10800</v>
      </c>
    </row>
    <row r="247" spans="2:5">
      <c r="B247" t="s">
        <v>1262</v>
      </c>
      <c r="C247">
        <v>50</v>
      </c>
      <c r="D247">
        <v>23</v>
      </c>
      <c r="E247" s="298">
        <v>1150</v>
      </c>
    </row>
    <row r="248" spans="2:5">
      <c r="B248" t="s">
        <v>1265</v>
      </c>
      <c r="C248">
        <v>6</v>
      </c>
      <c r="D248">
        <v>428</v>
      </c>
      <c r="E248" s="298">
        <v>2568</v>
      </c>
    </row>
    <row r="249" spans="2:5">
      <c r="B249" t="s">
        <v>1268</v>
      </c>
      <c r="C249">
        <v>1000</v>
      </c>
      <c r="D249">
        <v>240</v>
      </c>
      <c r="E249" s="298">
        <v>240000</v>
      </c>
    </row>
    <row r="250" spans="2:5">
      <c r="B250" t="s">
        <v>1273</v>
      </c>
      <c r="C250">
        <v>300</v>
      </c>
      <c r="D250">
        <v>8.56</v>
      </c>
      <c r="E250" s="298">
        <v>2568</v>
      </c>
    </row>
    <row r="251" spans="2:5">
      <c r="B251" t="s">
        <v>1277</v>
      </c>
      <c r="C251">
        <v>3</v>
      </c>
      <c r="D251">
        <v>210</v>
      </c>
      <c r="E251" s="298">
        <v>630</v>
      </c>
    </row>
    <row r="252" spans="2:5">
      <c r="B252" t="s">
        <v>1281</v>
      </c>
      <c r="C252">
        <v>20</v>
      </c>
      <c r="D252">
        <v>640</v>
      </c>
      <c r="E252" s="298">
        <v>12800</v>
      </c>
    </row>
    <row r="253" spans="2:5">
      <c r="B253" t="s">
        <v>1286</v>
      </c>
      <c r="C253">
        <v>390</v>
      </c>
      <c r="D253">
        <v>6</v>
      </c>
      <c r="E253" s="298">
        <v>2340</v>
      </c>
    </row>
    <row r="254" spans="2:5">
      <c r="B254" t="s">
        <v>1291</v>
      </c>
      <c r="C254">
        <v>6492</v>
      </c>
      <c r="D254">
        <v>15.0977</v>
      </c>
      <c r="E254" s="298">
        <v>98014.268400000001</v>
      </c>
    </row>
    <row r="255" spans="2:5">
      <c r="B255" t="s">
        <v>1299</v>
      </c>
      <c r="C255">
        <v>4</v>
      </c>
      <c r="D255">
        <v>3300</v>
      </c>
      <c r="E255" s="298">
        <v>13200</v>
      </c>
    </row>
    <row r="256" spans="2:5">
      <c r="B256" t="s">
        <v>1303</v>
      </c>
      <c r="C256">
        <v>1</v>
      </c>
      <c r="D256">
        <v>1000</v>
      </c>
      <c r="E256" s="298">
        <v>1000</v>
      </c>
    </row>
    <row r="257" spans="2:5">
      <c r="B257" t="s">
        <v>1307</v>
      </c>
      <c r="C257">
        <v>2</v>
      </c>
      <c r="D257">
        <v>1900</v>
      </c>
      <c r="E257" s="298">
        <v>3800</v>
      </c>
    </row>
    <row r="258" spans="2:5">
      <c r="B258" t="s">
        <v>1315</v>
      </c>
      <c r="C258">
        <v>40</v>
      </c>
      <c r="D258">
        <v>470</v>
      </c>
      <c r="E258" s="298">
        <v>18800</v>
      </c>
    </row>
    <row r="259" spans="2:5">
      <c r="B259" t="s">
        <v>1320</v>
      </c>
      <c r="C259">
        <v>2000</v>
      </c>
      <c r="D259">
        <v>6.42</v>
      </c>
      <c r="E259" s="298">
        <v>12840</v>
      </c>
    </row>
    <row r="260" spans="2:5">
      <c r="B260" t="s">
        <v>1324</v>
      </c>
      <c r="C260">
        <v>30</v>
      </c>
      <c r="D260">
        <v>220</v>
      </c>
      <c r="E260" s="298">
        <v>6600</v>
      </c>
    </row>
    <row r="261" spans="2:5">
      <c r="B261" t="s">
        <v>1328</v>
      </c>
      <c r="C261">
        <v>520</v>
      </c>
      <c r="D261">
        <v>150</v>
      </c>
      <c r="E261" s="298">
        <v>78000</v>
      </c>
    </row>
    <row r="262" spans="2:5">
      <c r="B262" t="s">
        <v>1332</v>
      </c>
      <c r="C262">
        <v>1400</v>
      </c>
      <c r="D262">
        <v>8.56</v>
      </c>
      <c r="E262" s="298">
        <v>11984</v>
      </c>
    </row>
    <row r="263" spans="2:5">
      <c r="B263" t="s">
        <v>1336</v>
      </c>
      <c r="C263">
        <v>1400</v>
      </c>
      <c r="D263">
        <v>10</v>
      </c>
      <c r="E263" s="298">
        <v>14000</v>
      </c>
    </row>
    <row r="264" spans="2:5">
      <c r="B264" t="s">
        <v>1340</v>
      </c>
      <c r="C264">
        <v>200</v>
      </c>
      <c r="D264">
        <v>12</v>
      </c>
      <c r="E264" s="298">
        <v>2400</v>
      </c>
    </row>
    <row r="265" spans="2:5">
      <c r="B265" t="s">
        <v>1344</v>
      </c>
      <c r="C265">
        <v>360</v>
      </c>
      <c r="D265">
        <v>16.91</v>
      </c>
      <c r="E265" s="298">
        <v>6087.6</v>
      </c>
    </row>
    <row r="266" spans="2:5">
      <c r="B266" t="s">
        <v>1348</v>
      </c>
      <c r="C266">
        <v>50</v>
      </c>
      <c r="D266">
        <v>190</v>
      </c>
      <c r="E266" s="298">
        <v>9500</v>
      </c>
    </row>
    <row r="267" spans="2:5">
      <c r="B267" t="s">
        <v>1352</v>
      </c>
      <c r="C267">
        <v>60</v>
      </c>
      <c r="D267">
        <v>300</v>
      </c>
      <c r="E267" s="298">
        <v>18000</v>
      </c>
    </row>
    <row r="268" spans="2:5">
      <c r="B268" t="s">
        <v>1356</v>
      </c>
      <c r="C268">
        <v>500</v>
      </c>
      <c r="D268">
        <v>34</v>
      </c>
      <c r="E268" s="298">
        <v>17000</v>
      </c>
    </row>
    <row r="269" spans="2:5">
      <c r="B269" t="s">
        <v>1361</v>
      </c>
      <c r="C269">
        <v>20</v>
      </c>
      <c r="D269">
        <v>1070</v>
      </c>
      <c r="E269" s="298">
        <v>21400</v>
      </c>
    </row>
    <row r="270" spans="2:5">
      <c r="B270" t="s">
        <v>1365</v>
      </c>
      <c r="C270">
        <v>375</v>
      </c>
      <c r="D270">
        <v>1007</v>
      </c>
      <c r="E270" s="298">
        <v>377625</v>
      </c>
    </row>
    <row r="271" spans="2:5">
      <c r="B271" t="s">
        <v>1372</v>
      </c>
      <c r="C271">
        <v>10</v>
      </c>
      <c r="D271">
        <v>250</v>
      </c>
      <c r="E271" s="298">
        <v>2500</v>
      </c>
    </row>
    <row r="272" spans="2:5">
      <c r="B272" t="s">
        <v>1376</v>
      </c>
      <c r="C272">
        <v>500</v>
      </c>
      <c r="D272">
        <v>3.2</v>
      </c>
      <c r="E272" s="298">
        <v>1600</v>
      </c>
    </row>
    <row r="273" spans="2:5">
      <c r="B273" t="s">
        <v>1380</v>
      </c>
      <c r="C273">
        <v>60</v>
      </c>
      <c r="D273">
        <v>300</v>
      </c>
      <c r="E273" s="298">
        <v>18000</v>
      </c>
    </row>
    <row r="274" spans="2:5">
      <c r="B274" t="s">
        <v>1388</v>
      </c>
      <c r="C274">
        <v>150</v>
      </c>
      <c r="D274">
        <v>230</v>
      </c>
      <c r="E274" s="298">
        <v>34500</v>
      </c>
    </row>
    <row r="275" spans="2:5">
      <c r="B275" t="s">
        <v>1392</v>
      </c>
      <c r="C275">
        <v>0</v>
      </c>
      <c r="D275">
        <v>14.82</v>
      </c>
      <c r="E275" s="298">
        <v>0</v>
      </c>
    </row>
    <row r="276" spans="2:5">
      <c r="B276" t="s">
        <v>1396</v>
      </c>
      <c r="C276">
        <v>0</v>
      </c>
      <c r="D276">
        <v>20</v>
      </c>
      <c r="E276" s="298">
        <v>0</v>
      </c>
    </row>
    <row r="277" spans="2:5">
      <c r="B277" t="s">
        <v>1412</v>
      </c>
      <c r="C277">
        <v>1200</v>
      </c>
      <c r="D277">
        <v>29.11</v>
      </c>
      <c r="E277" s="298">
        <v>34932</v>
      </c>
    </row>
    <row r="278" spans="2:5">
      <c r="B278" t="s">
        <v>1416</v>
      </c>
      <c r="C278">
        <v>2</v>
      </c>
      <c r="D278">
        <v>50.29</v>
      </c>
      <c r="E278" s="298">
        <v>100.58</v>
      </c>
    </row>
    <row r="279" spans="2:5">
      <c r="B279" t="s">
        <v>1420</v>
      </c>
      <c r="C279">
        <v>120</v>
      </c>
      <c r="D279">
        <v>16</v>
      </c>
      <c r="E279" s="298">
        <v>1920</v>
      </c>
    </row>
    <row r="280" spans="2:5">
      <c r="B280" t="s">
        <v>1424</v>
      </c>
      <c r="C280">
        <v>0</v>
      </c>
      <c r="D280">
        <v>1050</v>
      </c>
      <c r="E280" s="298">
        <v>0</v>
      </c>
    </row>
    <row r="281" spans="2:5">
      <c r="B281" t="s">
        <v>1428</v>
      </c>
      <c r="C281">
        <v>0</v>
      </c>
      <c r="D281">
        <v>1050</v>
      </c>
      <c r="E281" s="298">
        <v>0</v>
      </c>
    </row>
    <row r="282" spans="2:5">
      <c r="B282" t="s">
        <v>1432</v>
      </c>
      <c r="C282">
        <v>10</v>
      </c>
      <c r="D282">
        <v>1050</v>
      </c>
      <c r="E282" s="298">
        <v>10500</v>
      </c>
    </row>
    <row r="283" spans="2:5">
      <c r="B283" t="s">
        <v>1434</v>
      </c>
      <c r="C283">
        <v>10</v>
      </c>
      <c r="D283">
        <v>1050</v>
      </c>
      <c r="E283" s="298">
        <v>10500</v>
      </c>
    </row>
    <row r="284" spans="2:5">
      <c r="B284" t="s">
        <v>1435</v>
      </c>
    </row>
    <row r="285" spans="2:5">
      <c r="B285" t="s">
        <v>1438</v>
      </c>
      <c r="C285">
        <v>48</v>
      </c>
      <c r="D285">
        <v>176.55</v>
      </c>
      <c r="E285" s="298">
        <v>8474.4000000000015</v>
      </c>
    </row>
    <row r="286" spans="2:5">
      <c r="B286" t="s">
        <v>1442</v>
      </c>
      <c r="C286">
        <v>50</v>
      </c>
      <c r="D286">
        <v>59</v>
      </c>
      <c r="E286" s="298">
        <v>2950</v>
      </c>
    </row>
    <row r="287" spans="2:5">
      <c r="B287" t="s">
        <v>1445</v>
      </c>
      <c r="C287">
        <v>30</v>
      </c>
      <c r="D287">
        <v>630</v>
      </c>
      <c r="E287" s="298">
        <v>18900</v>
      </c>
    </row>
    <row r="288" spans="2:5">
      <c r="B288" t="s">
        <v>1458</v>
      </c>
      <c r="C288">
        <v>180</v>
      </c>
      <c r="D288">
        <v>30</v>
      </c>
      <c r="E288" s="298">
        <v>5400</v>
      </c>
    </row>
    <row r="289" spans="2:5">
      <c r="B289" t="s">
        <v>1461</v>
      </c>
      <c r="C289">
        <v>100</v>
      </c>
      <c r="D289">
        <v>27.24</v>
      </c>
      <c r="E289" s="298">
        <v>2724</v>
      </c>
    </row>
    <row r="290" spans="2:5">
      <c r="B290" t="s">
        <v>1464</v>
      </c>
      <c r="C290">
        <v>200</v>
      </c>
      <c r="D290">
        <v>203.3</v>
      </c>
      <c r="E290" s="298">
        <v>40660</v>
      </c>
    </row>
    <row r="291" spans="2:5">
      <c r="B291" t="s">
        <v>1468</v>
      </c>
      <c r="C291">
        <v>80</v>
      </c>
      <c r="D291">
        <v>60</v>
      </c>
      <c r="E291" s="298">
        <v>4800</v>
      </c>
    </row>
    <row r="294" spans="2:5">
      <c r="B294" t="s">
        <v>1478</v>
      </c>
    </row>
    <row r="295" spans="2:5">
      <c r="B295" t="s">
        <v>1485</v>
      </c>
      <c r="C295">
        <v>2</v>
      </c>
      <c r="D295">
        <v>14980</v>
      </c>
      <c r="E295" s="298">
        <v>29960</v>
      </c>
    </row>
    <row r="296" spans="2:5">
      <c r="B296" t="s">
        <v>1487</v>
      </c>
      <c r="C296">
        <v>20</v>
      </c>
      <c r="D296">
        <v>710</v>
      </c>
      <c r="E296" s="298">
        <v>14200</v>
      </c>
    </row>
    <row r="297" spans="2:5">
      <c r="B297" t="s">
        <v>1491</v>
      </c>
      <c r="C297">
        <v>20</v>
      </c>
      <c r="D297">
        <v>1200</v>
      </c>
      <c r="E297" s="298">
        <v>24000</v>
      </c>
    </row>
    <row r="298" spans="2:5">
      <c r="B298" t="s">
        <v>1495</v>
      </c>
      <c r="C298">
        <v>30</v>
      </c>
      <c r="D298">
        <v>250</v>
      </c>
      <c r="E298" s="298">
        <v>7500</v>
      </c>
    </row>
    <row r="299" spans="2:5">
      <c r="B299" t="s">
        <v>1498</v>
      </c>
      <c r="C299">
        <v>600</v>
      </c>
      <c r="D299">
        <v>47</v>
      </c>
      <c r="E299" s="298">
        <v>28200</v>
      </c>
    </row>
    <row r="300" spans="2:5">
      <c r="B300" t="s">
        <v>1502</v>
      </c>
      <c r="C300">
        <v>9</v>
      </c>
      <c r="D300">
        <v>775</v>
      </c>
      <c r="E300" s="298">
        <v>6975</v>
      </c>
    </row>
    <row r="301" spans="2:5">
      <c r="B301" t="s">
        <v>1515</v>
      </c>
      <c r="C301">
        <v>20</v>
      </c>
      <c r="D301">
        <v>89</v>
      </c>
      <c r="E301" s="298">
        <v>1780</v>
      </c>
    </row>
    <row r="302" spans="2:5">
      <c r="B302" t="s">
        <v>1520</v>
      </c>
      <c r="C302">
        <v>90</v>
      </c>
      <c r="D302">
        <v>22.37</v>
      </c>
      <c r="E302" s="298">
        <v>2013.3000000000002</v>
      </c>
    </row>
    <row r="303" spans="2:5">
      <c r="B303" t="s">
        <v>1523</v>
      </c>
      <c r="C303">
        <v>0</v>
      </c>
      <c r="D303">
        <v>130</v>
      </c>
      <c r="E303" s="298">
        <v>0</v>
      </c>
    </row>
    <row r="304" spans="2:5">
      <c r="B304" t="s">
        <v>1526</v>
      </c>
      <c r="C304">
        <v>10</v>
      </c>
      <c r="D304">
        <v>60</v>
      </c>
      <c r="E304" s="298">
        <v>600</v>
      </c>
    </row>
    <row r="305" spans="2:5">
      <c r="B305" t="s">
        <v>1529</v>
      </c>
      <c r="C305">
        <v>60</v>
      </c>
      <c r="D305">
        <v>75</v>
      </c>
      <c r="E305" s="298">
        <v>4500</v>
      </c>
    </row>
    <row r="306" spans="2:5">
      <c r="B306" t="s">
        <v>1535</v>
      </c>
      <c r="C306">
        <v>24</v>
      </c>
      <c r="D306">
        <v>48.15</v>
      </c>
      <c r="E306" s="298">
        <v>1155.5999999999999</v>
      </c>
    </row>
    <row r="308" spans="2:5">
      <c r="B308" t="s">
        <v>1536</v>
      </c>
    </row>
    <row r="309" spans="2:5">
      <c r="B309" t="s">
        <v>1539</v>
      </c>
      <c r="C309">
        <v>180</v>
      </c>
      <c r="D309">
        <v>600</v>
      </c>
      <c r="E309" s="298">
        <v>108000</v>
      </c>
    </row>
    <row r="310" spans="2:5">
      <c r="B310" t="s">
        <v>1544</v>
      </c>
      <c r="C310">
        <v>800</v>
      </c>
      <c r="D310">
        <v>21</v>
      </c>
      <c r="E310" s="298">
        <v>16800</v>
      </c>
    </row>
    <row r="311" spans="2:5">
      <c r="B311" t="s">
        <v>1548</v>
      </c>
      <c r="C311">
        <v>1400</v>
      </c>
      <c r="D311">
        <v>90</v>
      </c>
      <c r="E311" s="298">
        <v>126000</v>
      </c>
    </row>
    <row r="312" spans="2:5">
      <c r="B312" t="s">
        <v>1551</v>
      </c>
      <c r="C312">
        <v>28000</v>
      </c>
      <c r="D312">
        <v>35</v>
      </c>
      <c r="E312" s="298">
        <v>980000</v>
      </c>
    </row>
    <row r="313" spans="2:5">
      <c r="B313" t="s">
        <v>1554</v>
      </c>
      <c r="C313">
        <v>400</v>
      </c>
      <c r="D313">
        <v>40</v>
      </c>
      <c r="E313" s="298">
        <v>16000</v>
      </c>
    </row>
    <row r="314" spans="2:5">
      <c r="B314" t="s">
        <v>1557</v>
      </c>
      <c r="C314">
        <v>1480</v>
      </c>
      <c r="D314">
        <v>70</v>
      </c>
      <c r="E314" s="298">
        <v>103600</v>
      </c>
    </row>
    <row r="315" spans="2:5">
      <c r="B315" t="s">
        <v>1561</v>
      </c>
      <c r="C315">
        <v>8000</v>
      </c>
      <c r="D315">
        <v>14</v>
      </c>
      <c r="E315" s="298">
        <v>112000</v>
      </c>
    </row>
    <row r="316" spans="2:5">
      <c r="B316" t="s">
        <v>1564</v>
      </c>
      <c r="C316">
        <v>340</v>
      </c>
      <c r="D316">
        <v>65</v>
      </c>
      <c r="E316" s="298">
        <v>22100</v>
      </c>
    </row>
    <row r="317" spans="2:5">
      <c r="B317" t="s">
        <v>1568</v>
      </c>
      <c r="C317">
        <v>100</v>
      </c>
      <c r="D317">
        <v>35</v>
      </c>
      <c r="E317" s="298">
        <v>3500</v>
      </c>
    </row>
    <row r="318" spans="2:5">
      <c r="B318" t="s">
        <v>1571</v>
      </c>
      <c r="C318">
        <v>150</v>
      </c>
      <c r="D318">
        <v>90</v>
      </c>
      <c r="E318" s="298">
        <v>13500</v>
      </c>
    </row>
    <row r="319" spans="2:5">
      <c r="B319" t="s">
        <v>1575</v>
      </c>
      <c r="C319">
        <v>2000</v>
      </c>
      <c r="D319">
        <v>1</v>
      </c>
      <c r="E319" s="298">
        <v>2000</v>
      </c>
    </row>
    <row r="320" spans="2:5">
      <c r="B320" t="s">
        <v>1578</v>
      </c>
      <c r="C320">
        <v>10</v>
      </c>
      <c r="D320">
        <v>350</v>
      </c>
      <c r="E320" s="298">
        <v>3500</v>
      </c>
    </row>
    <row r="321" spans="2:5">
      <c r="B321" t="s">
        <v>1581</v>
      </c>
      <c r="C321">
        <v>1000</v>
      </c>
      <c r="D321">
        <v>1</v>
      </c>
      <c r="E321" s="298">
        <v>1000</v>
      </c>
    </row>
    <row r="322" spans="2:5">
      <c r="B322" t="s">
        <v>1584</v>
      </c>
      <c r="C322">
        <v>120</v>
      </c>
      <c r="D322">
        <v>56</v>
      </c>
      <c r="E322" s="298">
        <v>6720</v>
      </c>
    </row>
    <row r="323" spans="2:5">
      <c r="B323" t="s">
        <v>1588</v>
      </c>
      <c r="C323">
        <v>0</v>
      </c>
      <c r="D323">
        <v>85</v>
      </c>
      <c r="E323" s="298">
        <v>0</v>
      </c>
    </row>
    <row r="324" spans="2:5">
      <c r="B324" t="s">
        <v>1591</v>
      </c>
      <c r="C324">
        <v>50</v>
      </c>
      <c r="D324">
        <v>60</v>
      </c>
      <c r="E324" s="298">
        <v>3000</v>
      </c>
    </row>
    <row r="325" spans="2:5">
      <c r="B325" t="s">
        <v>1594</v>
      </c>
      <c r="C325">
        <v>6000</v>
      </c>
      <c r="D325">
        <v>1.83</v>
      </c>
      <c r="E325" s="298">
        <v>10980</v>
      </c>
    </row>
    <row r="326" spans="2:5">
      <c r="B326" t="s">
        <v>1598</v>
      </c>
      <c r="C326">
        <v>6800</v>
      </c>
      <c r="D326">
        <v>1.2</v>
      </c>
      <c r="E326" s="298">
        <v>8160</v>
      </c>
    </row>
    <row r="327" spans="2:5">
      <c r="B327" t="s">
        <v>1601</v>
      </c>
      <c r="C327">
        <v>500</v>
      </c>
      <c r="D327">
        <v>25</v>
      </c>
      <c r="E327" s="298">
        <v>12500</v>
      </c>
    </row>
    <row r="328" spans="2:5">
      <c r="B328" t="s">
        <v>1604</v>
      </c>
      <c r="C328">
        <v>4000</v>
      </c>
      <c r="D328">
        <v>13</v>
      </c>
      <c r="E328" s="298">
        <v>52000</v>
      </c>
    </row>
    <row r="329" spans="2:5">
      <c r="B329" t="s">
        <v>1607</v>
      </c>
      <c r="C329">
        <v>2000</v>
      </c>
      <c r="D329">
        <v>1</v>
      </c>
      <c r="E329" s="298">
        <v>2000</v>
      </c>
    </row>
    <row r="330" spans="2:5">
      <c r="B330" t="s">
        <v>1610</v>
      </c>
      <c r="C330">
        <v>120</v>
      </c>
      <c r="D330">
        <v>220</v>
      </c>
      <c r="E330" s="298">
        <v>26400</v>
      </c>
    </row>
    <row r="331" spans="2:5">
      <c r="B331" t="s">
        <v>1613</v>
      </c>
      <c r="C331">
        <v>64000</v>
      </c>
      <c r="D331">
        <v>1.2</v>
      </c>
      <c r="E331" s="298">
        <v>76800</v>
      </c>
    </row>
    <row r="332" spans="2:5">
      <c r="B332" t="s">
        <v>1616</v>
      </c>
      <c r="C332">
        <v>500</v>
      </c>
      <c r="D332">
        <v>49</v>
      </c>
      <c r="E332" s="298">
        <v>24500</v>
      </c>
    </row>
    <row r="333" spans="2:5">
      <c r="B333" t="s">
        <v>1619</v>
      </c>
      <c r="C333">
        <v>2000</v>
      </c>
      <c r="D333">
        <v>1.26</v>
      </c>
      <c r="E333" s="298">
        <v>2520</v>
      </c>
    </row>
    <row r="334" spans="2:5">
      <c r="B334" t="s">
        <v>1622</v>
      </c>
      <c r="C334">
        <v>1000</v>
      </c>
      <c r="D334">
        <v>25</v>
      </c>
      <c r="E334" s="298">
        <v>25000</v>
      </c>
    </row>
    <row r="335" spans="2:5">
      <c r="B335" t="s">
        <v>1625</v>
      </c>
      <c r="C335">
        <v>1500</v>
      </c>
      <c r="D335">
        <v>28</v>
      </c>
      <c r="E335" s="298">
        <v>42000</v>
      </c>
    </row>
    <row r="336" spans="2:5">
      <c r="B336" t="s">
        <v>1628</v>
      </c>
      <c r="C336">
        <v>7000</v>
      </c>
      <c r="D336">
        <v>4</v>
      </c>
      <c r="E336" s="298">
        <v>28000</v>
      </c>
    </row>
    <row r="337" spans="2:5">
      <c r="B337" t="s">
        <v>1631</v>
      </c>
      <c r="C337">
        <v>30</v>
      </c>
      <c r="D337">
        <v>28</v>
      </c>
      <c r="E337" s="298">
        <v>840</v>
      </c>
    </row>
    <row r="338" spans="2:5">
      <c r="B338" t="s">
        <v>1634</v>
      </c>
      <c r="C338">
        <v>1900</v>
      </c>
      <c r="D338">
        <v>50</v>
      </c>
      <c r="E338" s="298">
        <v>95000</v>
      </c>
    </row>
    <row r="339" spans="2:5">
      <c r="B339" t="s">
        <v>1637</v>
      </c>
      <c r="C339">
        <v>1800</v>
      </c>
      <c r="D339">
        <v>12</v>
      </c>
      <c r="E339" s="298">
        <v>21600</v>
      </c>
    </row>
    <row r="340" spans="2:5">
      <c r="B340" t="s">
        <v>1641</v>
      </c>
      <c r="C340">
        <v>100</v>
      </c>
      <c r="D340">
        <v>100</v>
      </c>
      <c r="E340" s="298">
        <v>10000</v>
      </c>
    </row>
    <row r="341" spans="2:5">
      <c r="B341" t="s">
        <v>1642</v>
      </c>
      <c r="C341">
        <v>400</v>
      </c>
      <c r="D341">
        <v>21</v>
      </c>
      <c r="E341" s="298">
        <v>8400</v>
      </c>
    </row>
    <row r="342" spans="2:5">
      <c r="B342" t="s">
        <v>1643</v>
      </c>
    </row>
    <row r="343" spans="2:5">
      <c r="B343" t="s">
        <v>1647</v>
      </c>
      <c r="C343">
        <v>1000</v>
      </c>
      <c r="D343">
        <v>75</v>
      </c>
      <c r="E343" s="298">
        <v>75000</v>
      </c>
    </row>
    <row r="344" spans="2:5">
      <c r="B344" t="s">
        <v>1651</v>
      </c>
      <c r="C344">
        <v>20</v>
      </c>
      <c r="D344">
        <v>1300</v>
      </c>
      <c r="E344" s="298">
        <v>26000</v>
      </c>
    </row>
    <row r="345" spans="2:5">
      <c r="B345" t="s">
        <v>1655</v>
      </c>
      <c r="C345">
        <v>200</v>
      </c>
      <c r="D345">
        <v>13</v>
      </c>
      <c r="E345" s="298">
        <v>2600</v>
      </c>
    </row>
    <row r="346" spans="2:5">
      <c r="B346" t="s">
        <v>1660</v>
      </c>
      <c r="C346">
        <v>60</v>
      </c>
      <c r="D346">
        <v>100</v>
      </c>
      <c r="E346" s="298">
        <v>6000</v>
      </c>
    </row>
    <row r="347" spans="2:5">
      <c r="B347" t="s">
        <v>1663</v>
      </c>
      <c r="C347">
        <v>720</v>
      </c>
      <c r="D347">
        <v>25</v>
      </c>
      <c r="E347" s="298">
        <v>18000</v>
      </c>
    </row>
    <row r="348" spans="2:5">
      <c r="B348" t="s">
        <v>1667</v>
      </c>
      <c r="C348">
        <v>200</v>
      </c>
      <c r="D348">
        <v>59</v>
      </c>
      <c r="E348" s="298">
        <v>11800</v>
      </c>
    </row>
    <row r="349" spans="2:5">
      <c r="B349" t="s">
        <v>1670</v>
      </c>
      <c r="C349">
        <v>800</v>
      </c>
      <c r="D349">
        <v>12</v>
      </c>
      <c r="E349" s="298">
        <v>9600</v>
      </c>
    </row>
    <row r="350" spans="2:5">
      <c r="B350" t="s">
        <v>1674</v>
      </c>
      <c r="C350">
        <v>0</v>
      </c>
      <c r="D350">
        <v>510</v>
      </c>
      <c r="E350" s="298">
        <v>0</v>
      </c>
    </row>
    <row r="351" spans="2:5">
      <c r="B351" t="s">
        <v>1678</v>
      </c>
      <c r="C351">
        <v>200</v>
      </c>
      <c r="D351">
        <v>16</v>
      </c>
      <c r="E351" s="298">
        <v>3200</v>
      </c>
    </row>
    <row r="352" spans="2:5">
      <c r="B352" t="s">
        <v>1682</v>
      </c>
      <c r="C352">
        <v>200</v>
      </c>
      <c r="D352">
        <v>256.8</v>
      </c>
      <c r="E352" s="298">
        <v>51360</v>
      </c>
    </row>
    <row r="353" spans="2:5">
      <c r="B353" t="s">
        <v>1686</v>
      </c>
      <c r="C353">
        <v>50</v>
      </c>
      <c r="D353">
        <v>95</v>
      </c>
      <c r="E353" s="298">
        <v>4750</v>
      </c>
    </row>
    <row r="354" spans="2:5">
      <c r="B354" t="s">
        <v>1689</v>
      </c>
      <c r="C354">
        <v>690</v>
      </c>
      <c r="D354">
        <v>190.46</v>
      </c>
      <c r="E354" s="298">
        <v>131417.4</v>
      </c>
    </row>
    <row r="355" spans="2:5">
      <c r="B355" t="s">
        <v>1693</v>
      </c>
      <c r="C355">
        <v>3000</v>
      </c>
      <c r="D355">
        <v>5</v>
      </c>
      <c r="E355" s="298">
        <v>15000</v>
      </c>
    </row>
    <row r="356" spans="2:5">
      <c r="B356" t="s">
        <v>1697</v>
      </c>
      <c r="C356">
        <v>6000</v>
      </c>
      <c r="D356">
        <v>1</v>
      </c>
      <c r="E356" s="298">
        <v>6000</v>
      </c>
    </row>
    <row r="357" spans="2:5">
      <c r="B357" t="s">
        <v>1700</v>
      </c>
      <c r="C357">
        <v>105</v>
      </c>
      <c r="D357">
        <v>316</v>
      </c>
      <c r="E357" s="298">
        <v>33180</v>
      </c>
    </row>
    <row r="358" spans="2:5">
      <c r="B358" t="s">
        <v>1704</v>
      </c>
      <c r="C358">
        <v>0</v>
      </c>
      <c r="D358">
        <v>3.5</v>
      </c>
      <c r="E358" s="298">
        <v>0</v>
      </c>
    </row>
    <row r="359" spans="2:5">
      <c r="B359" t="s">
        <v>1705</v>
      </c>
    </row>
    <row r="360" spans="2:5">
      <c r="B360" t="s">
        <v>1707</v>
      </c>
      <c r="C360">
        <v>6</v>
      </c>
      <c r="D360">
        <v>684.8</v>
      </c>
      <c r="E360" s="298">
        <v>4108.7999999999993</v>
      </c>
    </row>
    <row r="361" spans="2:5">
      <c r="B361" t="s">
        <v>1710</v>
      </c>
      <c r="C361">
        <v>6</v>
      </c>
      <c r="D361">
        <v>535</v>
      </c>
      <c r="E361" s="298">
        <v>3210</v>
      </c>
    </row>
    <row r="363" spans="2:5">
      <c r="B363" t="s">
        <v>1711</v>
      </c>
      <c r="C363">
        <v>0</v>
      </c>
    </row>
    <row r="364" spans="2:5">
      <c r="B364" t="s">
        <v>1714</v>
      </c>
      <c r="C364">
        <v>400</v>
      </c>
      <c r="D364">
        <v>50</v>
      </c>
      <c r="E364" s="298">
        <v>20000</v>
      </c>
    </row>
    <row r="365" spans="2:5">
      <c r="B365" t="s">
        <v>1715</v>
      </c>
    </row>
    <row r="366" spans="2:5">
      <c r="B366" t="s">
        <v>1717</v>
      </c>
      <c r="C366">
        <v>16</v>
      </c>
      <c r="D366">
        <v>2000</v>
      </c>
      <c r="E366" s="298">
        <v>32000</v>
      </c>
    </row>
    <row r="367" spans="2:5">
      <c r="B367" t="s">
        <v>1720</v>
      </c>
      <c r="C367">
        <v>16</v>
      </c>
      <c r="D367">
        <v>550</v>
      </c>
      <c r="E367" s="298">
        <v>8800</v>
      </c>
    </row>
    <row r="368" spans="2:5">
      <c r="B368" t="s">
        <v>1722</v>
      </c>
      <c r="C368">
        <v>16</v>
      </c>
      <c r="D368">
        <v>800</v>
      </c>
      <c r="E368" s="298">
        <v>12800</v>
      </c>
    </row>
    <row r="369" spans="2:5">
      <c r="B369" t="s">
        <v>1725</v>
      </c>
      <c r="C369">
        <v>16</v>
      </c>
      <c r="D369">
        <v>1400</v>
      </c>
      <c r="E369" s="298">
        <v>22400</v>
      </c>
    </row>
    <row r="370" spans="2:5">
      <c r="E370" s="298">
        <v>27036181.148399994</v>
      </c>
    </row>
    <row r="371" spans="2:5">
      <c r="D371" t="s">
        <v>1727</v>
      </c>
      <c r="E371" s="298">
        <v>54072362.296799988</v>
      </c>
    </row>
    <row r="372" spans="2:5">
      <c r="D372" t="s">
        <v>1728</v>
      </c>
      <c r="E372" s="298">
        <v>26252050.34666666</v>
      </c>
    </row>
    <row r="373" spans="2:5">
      <c r="E373" s="298">
        <v>27047624.5484</v>
      </c>
    </row>
    <row r="375" spans="2:5">
      <c r="D375" t="s">
        <v>1729</v>
      </c>
      <c r="E375" s="298">
        <v>12553940.52</v>
      </c>
    </row>
    <row r="376" spans="2:5">
      <c r="D376" t="s">
        <v>1730</v>
      </c>
      <c r="E376" s="298">
        <v>23.216926331222901</v>
      </c>
    </row>
    <row r="383" spans="2:5">
      <c r="C383" t="s">
        <v>1732</v>
      </c>
      <c r="D383">
        <v>32</v>
      </c>
      <c r="E383" s="298">
        <v>753896.66666666674</v>
      </c>
    </row>
    <row r="384" spans="2:5">
      <c r="C384" t="s">
        <v>1734</v>
      </c>
      <c r="D384">
        <v>1</v>
      </c>
      <c r="E384" s="298">
        <v>45000</v>
      </c>
    </row>
    <row r="385" spans="2:5">
      <c r="D385" t="s">
        <v>1735</v>
      </c>
      <c r="E385" s="298">
        <v>798896.66666666674</v>
      </c>
    </row>
    <row r="386" spans="2:5">
      <c r="C386" t="s">
        <v>1736</v>
      </c>
      <c r="D386" t="s">
        <v>1052</v>
      </c>
    </row>
    <row r="387" spans="2:5">
      <c r="D387" t="s">
        <v>1737</v>
      </c>
    </row>
    <row r="388" spans="2:5">
      <c r="C388" t="s">
        <v>16</v>
      </c>
      <c r="D388" t="s">
        <v>17</v>
      </c>
    </row>
    <row r="389" spans="2:5">
      <c r="B389" t="s">
        <v>27</v>
      </c>
      <c r="C389" t="s">
        <v>1738</v>
      </c>
      <c r="D389" t="s">
        <v>35</v>
      </c>
      <c r="E389" s="298" t="s">
        <v>36</v>
      </c>
    </row>
    <row r="390" spans="2:5">
      <c r="C390" t="s">
        <v>40</v>
      </c>
      <c r="D390" t="s">
        <v>12</v>
      </c>
    </row>
    <row r="391" spans="2:5">
      <c r="B391" t="s">
        <v>1539</v>
      </c>
      <c r="C391" t="e">
        <v>#REF!</v>
      </c>
      <c r="D391">
        <v>700</v>
      </c>
      <c r="E391" s="298" t="e">
        <v>#REF!</v>
      </c>
    </row>
    <row r="392" spans="2:5">
      <c r="B392" t="s">
        <v>1548</v>
      </c>
      <c r="C392" t="e">
        <v>#REF!</v>
      </c>
      <c r="D392">
        <v>120</v>
      </c>
      <c r="E392" s="298" t="e">
        <v>#REF!</v>
      </c>
    </row>
    <row r="393" spans="2:5">
      <c r="B393" t="s">
        <v>1557</v>
      </c>
      <c r="C393" t="e">
        <v>#REF!</v>
      </c>
      <c r="D393">
        <v>90</v>
      </c>
      <c r="E393" s="298" t="e">
        <v>#REF!</v>
      </c>
    </row>
    <row r="394" spans="2:5">
      <c r="B394" t="s">
        <v>1568</v>
      </c>
      <c r="C394" t="e">
        <v>#REF!</v>
      </c>
      <c r="D394">
        <v>35</v>
      </c>
      <c r="E394" s="298" t="e">
        <v>#REF!</v>
      </c>
    </row>
    <row r="395" spans="2:5">
      <c r="B395" t="s">
        <v>1571</v>
      </c>
      <c r="C395" t="e">
        <v>#REF!</v>
      </c>
      <c r="D395">
        <v>100</v>
      </c>
      <c r="E395" s="298" t="e">
        <v>#REF!</v>
      </c>
    </row>
    <row r="396" spans="2:5">
      <c r="B396" t="s">
        <v>1601</v>
      </c>
      <c r="C396" t="e">
        <v>#REF!</v>
      </c>
      <c r="D396">
        <v>30</v>
      </c>
      <c r="E396" s="298" t="e">
        <v>#REF!</v>
      </c>
    </row>
    <row r="397" spans="2:5">
      <c r="B397" t="s">
        <v>1634</v>
      </c>
      <c r="C397" t="e">
        <v>#REF!</v>
      </c>
      <c r="D397">
        <v>65</v>
      </c>
      <c r="E397" s="298" t="e">
        <v>#REF!</v>
      </c>
    </row>
    <row r="398" spans="2:5">
      <c r="B398" t="s">
        <v>1714</v>
      </c>
      <c r="C398" t="e">
        <v>#REF!</v>
      </c>
      <c r="D398">
        <v>90</v>
      </c>
      <c r="E398" s="298" t="e">
        <v>#REF!</v>
      </c>
    </row>
    <row r="399" spans="2:5">
      <c r="E399" s="298" t="e">
        <v>#REF!</v>
      </c>
    </row>
    <row r="400" spans="2:5">
      <c r="D400">
        <v>0.8</v>
      </c>
      <c r="E400" s="298" t="e">
        <v>#REF!</v>
      </c>
    </row>
  </sheetData>
  <sortState xmlns:xlrd2="http://schemas.microsoft.com/office/spreadsheetml/2017/richdata2" ref="B5:F291">
    <sortCondition descending="1" ref="F5:F29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E9BA5-76DF-44EC-98FE-D75630649273}">
  <dimension ref="A2:J72"/>
  <sheetViews>
    <sheetView workbookViewId="0">
      <selection activeCell="E13" sqref="E13:F42"/>
    </sheetView>
  </sheetViews>
  <sheetFormatPr defaultRowHeight="14.25"/>
  <cols>
    <col min="1" max="1" width="9" style="1"/>
    <col min="2" max="2" width="6.875" customWidth="1"/>
    <col min="3" max="3" width="42.375" customWidth="1"/>
    <col min="5" max="5" width="5.875" customWidth="1"/>
    <col min="7" max="7" width="11.625" customWidth="1"/>
    <col min="9" max="9" width="14" style="298" customWidth="1"/>
    <col min="10" max="10" width="13.125" style="298" bestFit="1" customWidth="1"/>
  </cols>
  <sheetData>
    <row r="2" spans="1:10">
      <c r="E2" t="s">
        <v>11</v>
      </c>
      <c r="F2" t="s">
        <v>12</v>
      </c>
      <c r="G2" t="s">
        <v>16</v>
      </c>
      <c r="H2" t="s">
        <v>17</v>
      </c>
    </row>
    <row r="3" spans="1:10">
      <c r="C3" t="s">
        <v>27</v>
      </c>
      <c r="D3" t="s">
        <v>29</v>
      </c>
      <c r="E3" t="s">
        <v>30</v>
      </c>
      <c r="F3" t="s">
        <v>30</v>
      </c>
      <c r="G3" t="s">
        <v>34</v>
      </c>
      <c r="H3" t="s">
        <v>35</v>
      </c>
      <c r="I3" s="298" t="s">
        <v>36</v>
      </c>
    </row>
    <row r="4" spans="1:10">
      <c r="G4" t="s">
        <v>40</v>
      </c>
      <c r="H4" t="s">
        <v>12</v>
      </c>
      <c r="J4" s="298" t="s">
        <v>1747</v>
      </c>
    </row>
    <row r="5" spans="1:10">
      <c r="B5" t="s">
        <v>1746</v>
      </c>
      <c r="C5" t="s">
        <v>1508</v>
      </c>
      <c r="D5" t="s">
        <v>327</v>
      </c>
      <c r="E5">
        <v>1</v>
      </c>
      <c r="F5" t="s">
        <v>52</v>
      </c>
      <c r="G5">
        <v>290</v>
      </c>
      <c r="H5">
        <v>192.6</v>
      </c>
      <c r="I5" s="298">
        <v>55854</v>
      </c>
      <c r="J5" s="298">
        <v>36594</v>
      </c>
    </row>
    <row r="6" spans="1:10">
      <c r="B6" t="s">
        <v>1746</v>
      </c>
      <c r="C6" t="s">
        <v>1512</v>
      </c>
      <c r="D6" t="s">
        <v>327</v>
      </c>
      <c r="E6">
        <v>1</v>
      </c>
      <c r="F6" t="s">
        <v>52</v>
      </c>
      <c r="G6">
        <v>420</v>
      </c>
      <c r="H6">
        <v>102</v>
      </c>
      <c r="I6" s="298">
        <v>42840</v>
      </c>
      <c r="J6" s="298">
        <v>24480</v>
      </c>
    </row>
    <row r="7" spans="1:10">
      <c r="B7" t="s">
        <v>1746</v>
      </c>
      <c r="C7" t="s">
        <v>1518</v>
      </c>
      <c r="D7" t="s">
        <v>327</v>
      </c>
      <c r="E7">
        <v>1</v>
      </c>
      <c r="F7" t="s">
        <v>52</v>
      </c>
      <c r="G7">
        <v>190</v>
      </c>
      <c r="H7">
        <v>192.6</v>
      </c>
      <c r="I7" s="298">
        <v>36594</v>
      </c>
      <c r="J7" s="298">
        <v>26964</v>
      </c>
    </row>
    <row r="8" spans="1:10">
      <c r="B8" t="s">
        <v>1746</v>
      </c>
      <c r="C8" t="s">
        <v>1505</v>
      </c>
      <c r="D8" t="s">
        <v>327</v>
      </c>
      <c r="E8">
        <v>1</v>
      </c>
      <c r="F8" t="s">
        <v>52</v>
      </c>
      <c r="G8">
        <v>250</v>
      </c>
      <c r="H8">
        <v>95.23</v>
      </c>
      <c r="I8" s="298">
        <v>23807.5</v>
      </c>
      <c r="J8" s="298">
        <v>23807.5</v>
      </c>
    </row>
    <row r="9" spans="1:10">
      <c r="B9" t="s">
        <v>1746</v>
      </c>
      <c r="C9" t="s">
        <v>1311</v>
      </c>
      <c r="D9" t="s">
        <v>327</v>
      </c>
      <c r="E9">
        <v>1</v>
      </c>
      <c r="F9" t="s">
        <v>52</v>
      </c>
      <c r="G9">
        <v>300</v>
      </c>
      <c r="H9">
        <v>52.01</v>
      </c>
      <c r="I9" s="298">
        <v>15603</v>
      </c>
      <c r="J9" s="298">
        <v>4000</v>
      </c>
    </row>
    <row r="10" spans="1:10">
      <c r="B10" t="s">
        <v>1746</v>
      </c>
      <c r="C10" t="s">
        <v>1532</v>
      </c>
      <c r="D10" t="s">
        <v>327</v>
      </c>
      <c r="E10">
        <v>1</v>
      </c>
      <c r="F10" t="s">
        <v>52</v>
      </c>
      <c r="G10">
        <v>360</v>
      </c>
      <c r="H10">
        <v>14</v>
      </c>
      <c r="I10" s="298">
        <v>5040</v>
      </c>
      <c r="J10" s="298">
        <v>1680</v>
      </c>
    </row>
    <row r="11" spans="1:10">
      <c r="B11" t="s">
        <v>1746</v>
      </c>
      <c r="C11" t="s">
        <v>1104</v>
      </c>
      <c r="D11" t="s">
        <v>327</v>
      </c>
      <c r="E11">
        <v>1</v>
      </c>
      <c r="F11" t="s">
        <v>52</v>
      </c>
      <c r="G11">
        <v>25</v>
      </c>
      <c r="H11">
        <v>68.48</v>
      </c>
      <c r="I11" s="298">
        <v>1712</v>
      </c>
      <c r="J11" s="298">
        <v>304.95</v>
      </c>
    </row>
    <row r="12" spans="1:10">
      <c r="I12" s="299">
        <f>SUM(I5:I11)</f>
        <v>181450.5</v>
      </c>
      <c r="J12" s="299">
        <f>SUM(J5:J11)</f>
        <v>117830.45</v>
      </c>
    </row>
    <row r="13" spans="1:10">
      <c r="A13" s="1">
        <v>1</v>
      </c>
      <c r="B13" t="s">
        <v>1744</v>
      </c>
      <c r="C13" t="s">
        <v>726</v>
      </c>
      <c r="D13" t="s">
        <v>727</v>
      </c>
      <c r="E13">
        <v>1</v>
      </c>
      <c r="F13" t="s">
        <v>728</v>
      </c>
      <c r="G13">
        <v>7000</v>
      </c>
      <c r="H13">
        <v>250</v>
      </c>
      <c r="I13" s="298">
        <v>1750000</v>
      </c>
      <c r="J13" s="298">
        <v>1107450</v>
      </c>
    </row>
    <row r="14" spans="1:10">
      <c r="A14" s="1">
        <v>2</v>
      </c>
      <c r="B14" t="s">
        <v>1744</v>
      </c>
      <c r="C14" t="s">
        <v>573</v>
      </c>
      <c r="D14" t="s">
        <v>88</v>
      </c>
      <c r="E14">
        <v>1</v>
      </c>
      <c r="F14" t="s">
        <v>574</v>
      </c>
      <c r="G14">
        <v>1800</v>
      </c>
      <c r="H14">
        <v>900</v>
      </c>
      <c r="I14" s="298">
        <v>1620000</v>
      </c>
      <c r="J14" s="298">
        <v>772968</v>
      </c>
    </row>
    <row r="15" spans="1:10">
      <c r="A15" s="1">
        <v>3</v>
      </c>
      <c r="B15" t="s">
        <v>1744</v>
      </c>
      <c r="C15" t="s">
        <v>948</v>
      </c>
      <c r="D15" t="s">
        <v>88</v>
      </c>
      <c r="E15">
        <v>1</v>
      </c>
      <c r="F15" t="s">
        <v>202</v>
      </c>
      <c r="G15">
        <v>13000</v>
      </c>
      <c r="H15">
        <v>78.11</v>
      </c>
      <c r="I15" s="298">
        <v>1015430</v>
      </c>
      <c r="J15" s="298">
        <v>720000</v>
      </c>
    </row>
    <row r="16" spans="1:10">
      <c r="A16" s="1">
        <v>4</v>
      </c>
      <c r="B16" t="s">
        <v>1744</v>
      </c>
      <c r="C16" t="s">
        <v>1232</v>
      </c>
      <c r="D16" t="s">
        <v>83</v>
      </c>
      <c r="E16">
        <v>1000</v>
      </c>
      <c r="F16" t="s">
        <v>84</v>
      </c>
      <c r="G16">
        <v>2000</v>
      </c>
      <c r="H16">
        <v>481.5</v>
      </c>
      <c r="I16" s="298">
        <v>963000</v>
      </c>
      <c r="J16" s="298">
        <v>675000</v>
      </c>
    </row>
    <row r="17" spans="1:10">
      <c r="A17" s="1">
        <v>5</v>
      </c>
      <c r="B17" t="s">
        <v>1744</v>
      </c>
      <c r="C17" t="s">
        <v>1011</v>
      </c>
      <c r="D17" t="s">
        <v>88</v>
      </c>
      <c r="E17">
        <v>1</v>
      </c>
      <c r="F17" t="s">
        <v>202</v>
      </c>
      <c r="G17">
        <v>9500</v>
      </c>
      <c r="H17">
        <v>78.11</v>
      </c>
      <c r="I17" s="298">
        <v>742045</v>
      </c>
      <c r="J17" s="298">
        <v>540000</v>
      </c>
    </row>
    <row r="18" spans="1:10">
      <c r="A18" s="1">
        <v>6</v>
      </c>
      <c r="B18" t="s">
        <v>1744</v>
      </c>
      <c r="C18" t="s">
        <v>890</v>
      </c>
      <c r="D18" t="s">
        <v>83</v>
      </c>
      <c r="E18">
        <v>1000</v>
      </c>
      <c r="F18" t="s">
        <v>84</v>
      </c>
      <c r="G18">
        <v>2700</v>
      </c>
      <c r="H18">
        <v>250</v>
      </c>
      <c r="I18" s="298">
        <v>675000</v>
      </c>
      <c r="J18" s="298">
        <v>403200</v>
      </c>
    </row>
    <row r="19" spans="1:10">
      <c r="A19" s="1">
        <v>7</v>
      </c>
      <c r="B19" t="s">
        <v>1745</v>
      </c>
      <c r="C19" t="s">
        <v>874</v>
      </c>
      <c r="D19" t="s">
        <v>83</v>
      </c>
      <c r="E19">
        <v>1000</v>
      </c>
      <c r="F19" t="s">
        <v>84</v>
      </c>
      <c r="G19">
        <v>800</v>
      </c>
      <c r="H19">
        <v>713</v>
      </c>
      <c r="I19" s="298">
        <v>570400</v>
      </c>
      <c r="J19" s="298">
        <v>390000</v>
      </c>
    </row>
    <row r="20" spans="1:10">
      <c r="A20" s="1">
        <v>8</v>
      </c>
      <c r="B20" t="s">
        <v>1744</v>
      </c>
      <c r="C20" t="s">
        <v>173</v>
      </c>
      <c r="D20" t="s">
        <v>83</v>
      </c>
      <c r="E20">
        <v>1000</v>
      </c>
      <c r="F20" t="s">
        <v>84</v>
      </c>
      <c r="G20">
        <v>1400</v>
      </c>
      <c r="H20">
        <v>400</v>
      </c>
      <c r="I20" s="298">
        <v>560000</v>
      </c>
      <c r="J20" s="298">
        <v>385000</v>
      </c>
    </row>
    <row r="21" spans="1:10">
      <c r="A21" s="1">
        <v>9</v>
      </c>
      <c r="B21" t="s">
        <v>1744</v>
      </c>
      <c r="C21" t="s">
        <v>1209</v>
      </c>
      <c r="D21" t="s">
        <v>272</v>
      </c>
      <c r="E21">
        <v>1</v>
      </c>
      <c r="F21" t="s">
        <v>52</v>
      </c>
      <c r="G21">
        <v>5000</v>
      </c>
      <c r="H21">
        <v>130</v>
      </c>
      <c r="I21" s="298">
        <v>650000</v>
      </c>
      <c r="J21" s="298">
        <v>345877.5</v>
      </c>
    </row>
    <row r="22" spans="1:10">
      <c r="A22" s="1">
        <v>10</v>
      </c>
      <c r="B22" t="s">
        <v>1744</v>
      </c>
      <c r="C22" t="s">
        <v>168</v>
      </c>
      <c r="D22" t="s">
        <v>83</v>
      </c>
      <c r="E22">
        <v>1000</v>
      </c>
      <c r="F22" t="s">
        <v>84</v>
      </c>
      <c r="G22">
        <v>900</v>
      </c>
      <c r="H22">
        <v>700</v>
      </c>
      <c r="I22" s="298">
        <v>630000</v>
      </c>
      <c r="J22" s="298">
        <v>312975</v>
      </c>
    </row>
    <row r="23" spans="1:10">
      <c r="A23" s="1">
        <v>11</v>
      </c>
      <c r="B23" t="s">
        <v>1744</v>
      </c>
      <c r="C23" t="s">
        <v>1384</v>
      </c>
      <c r="D23" t="s">
        <v>83</v>
      </c>
      <c r="E23">
        <v>1000</v>
      </c>
      <c r="F23" t="s">
        <v>84</v>
      </c>
      <c r="G23">
        <v>1500</v>
      </c>
      <c r="H23">
        <v>270</v>
      </c>
      <c r="I23" s="298">
        <v>405000</v>
      </c>
      <c r="J23" s="298">
        <v>294250</v>
      </c>
    </row>
    <row r="24" spans="1:10">
      <c r="A24" s="1">
        <v>12</v>
      </c>
      <c r="B24" t="s">
        <v>1744</v>
      </c>
      <c r="C24" t="s">
        <v>744</v>
      </c>
      <c r="D24" t="s">
        <v>83</v>
      </c>
      <c r="E24">
        <v>1000</v>
      </c>
      <c r="F24" t="s">
        <v>84</v>
      </c>
      <c r="G24">
        <v>1000</v>
      </c>
      <c r="H24">
        <v>400</v>
      </c>
      <c r="I24" s="298">
        <v>400000</v>
      </c>
      <c r="J24" s="298">
        <v>230400</v>
      </c>
    </row>
    <row r="25" spans="1:10">
      <c r="A25" s="1">
        <v>13</v>
      </c>
      <c r="B25" t="s">
        <v>1744</v>
      </c>
      <c r="C25" t="s">
        <v>231</v>
      </c>
      <c r="D25" t="s">
        <v>83</v>
      </c>
      <c r="E25">
        <v>100</v>
      </c>
      <c r="F25" t="s">
        <v>84</v>
      </c>
      <c r="G25">
        <v>2400</v>
      </c>
      <c r="H25">
        <v>140</v>
      </c>
      <c r="I25" s="298">
        <v>336000</v>
      </c>
      <c r="J25" s="298">
        <v>178250</v>
      </c>
    </row>
    <row r="26" spans="1:10">
      <c r="A26" s="1">
        <v>14</v>
      </c>
      <c r="B26" t="s">
        <v>1744</v>
      </c>
      <c r="C26" t="s">
        <v>1020</v>
      </c>
      <c r="D26" t="s">
        <v>184</v>
      </c>
      <c r="E26">
        <v>1000</v>
      </c>
      <c r="F26" t="s">
        <v>185</v>
      </c>
      <c r="G26">
        <v>400</v>
      </c>
      <c r="H26">
        <v>550</v>
      </c>
      <c r="I26" s="298">
        <v>220000</v>
      </c>
      <c r="J26" s="298">
        <v>165000</v>
      </c>
    </row>
    <row r="27" spans="1:10">
      <c r="A27" s="1">
        <v>15</v>
      </c>
      <c r="B27" t="s">
        <v>1744</v>
      </c>
      <c r="C27" t="s">
        <v>681</v>
      </c>
      <c r="D27" t="s">
        <v>83</v>
      </c>
      <c r="E27">
        <v>1000</v>
      </c>
      <c r="F27" t="s">
        <v>84</v>
      </c>
      <c r="G27">
        <v>2000</v>
      </c>
      <c r="H27">
        <v>150</v>
      </c>
      <c r="I27" s="298">
        <v>300000</v>
      </c>
      <c r="J27" s="298">
        <v>156000</v>
      </c>
    </row>
    <row r="28" spans="1:10">
      <c r="A28" s="1">
        <v>16</v>
      </c>
      <c r="B28" t="s">
        <v>1744</v>
      </c>
      <c r="C28" t="s">
        <v>284</v>
      </c>
      <c r="D28" t="s">
        <v>83</v>
      </c>
      <c r="E28">
        <v>1000</v>
      </c>
      <c r="F28" t="s">
        <v>84</v>
      </c>
      <c r="G28">
        <v>470</v>
      </c>
      <c r="H28">
        <v>500</v>
      </c>
      <c r="I28" s="298">
        <v>235000</v>
      </c>
      <c r="J28" s="298">
        <v>150442</v>
      </c>
    </row>
    <row r="29" spans="1:10">
      <c r="A29" s="1">
        <v>17</v>
      </c>
      <c r="B29" t="s">
        <v>1744</v>
      </c>
      <c r="C29" t="s">
        <v>646</v>
      </c>
      <c r="D29" t="s">
        <v>83</v>
      </c>
      <c r="E29">
        <v>1000</v>
      </c>
      <c r="F29" t="s">
        <v>84</v>
      </c>
      <c r="G29">
        <v>1000</v>
      </c>
      <c r="H29">
        <v>200</v>
      </c>
      <c r="I29" s="298">
        <v>200000</v>
      </c>
      <c r="J29" s="298">
        <v>150000</v>
      </c>
    </row>
    <row r="30" spans="1:10">
      <c r="A30" s="1">
        <v>18</v>
      </c>
      <c r="B30" t="s">
        <v>1744</v>
      </c>
      <c r="C30" t="s">
        <v>622</v>
      </c>
      <c r="D30" t="s">
        <v>83</v>
      </c>
      <c r="E30">
        <v>1000</v>
      </c>
      <c r="F30" t="s">
        <v>84</v>
      </c>
      <c r="G30">
        <v>800</v>
      </c>
      <c r="H30">
        <v>220</v>
      </c>
      <c r="I30" s="298">
        <v>176000</v>
      </c>
      <c r="J30" s="298">
        <v>114800</v>
      </c>
    </row>
    <row r="31" spans="1:10">
      <c r="A31" s="1">
        <v>19</v>
      </c>
      <c r="B31" t="s">
        <v>1744</v>
      </c>
      <c r="C31" t="s">
        <v>562</v>
      </c>
      <c r="D31" t="s">
        <v>83</v>
      </c>
      <c r="E31">
        <v>1000</v>
      </c>
      <c r="F31" t="s">
        <v>84</v>
      </c>
      <c r="G31">
        <v>1380</v>
      </c>
      <c r="H31">
        <v>180</v>
      </c>
      <c r="I31" s="298">
        <v>248400</v>
      </c>
      <c r="J31" s="298">
        <v>108800</v>
      </c>
    </row>
    <row r="32" spans="1:10">
      <c r="A32" s="1">
        <v>20</v>
      </c>
      <c r="B32" t="s">
        <v>1744</v>
      </c>
      <c r="C32" t="s">
        <v>1236</v>
      </c>
      <c r="D32" t="s">
        <v>83</v>
      </c>
      <c r="E32">
        <v>1000</v>
      </c>
      <c r="F32" t="s">
        <v>84</v>
      </c>
      <c r="G32">
        <v>700</v>
      </c>
      <c r="H32">
        <v>194</v>
      </c>
      <c r="I32" s="298">
        <v>135800</v>
      </c>
      <c r="J32" s="298">
        <v>105600</v>
      </c>
    </row>
    <row r="33" spans="1:10">
      <c r="A33" s="1">
        <v>21</v>
      </c>
      <c r="B33" t="s">
        <v>1744</v>
      </c>
      <c r="C33" t="s">
        <v>146</v>
      </c>
      <c r="D33" t="s">
        <v>83</v>
      </c>
      <c r="E33">
        <v>1000</v>
      </c>
      <c r="F33" t="s">
        <v>84</v>
      </c>
      <c r="G33">
        <v>220</v>
      </c>
      <c r="H33">
        <v>600</v>
      </c>
      <c r="I33" s="298">
        <v>132000</v>
      </c>
      <c r="J33" s="298">
        <v>85000</v>
      </c>
    </row>
    <row r="34" spans="1:10">
      <c r="A34" s="1">
        <v>22</v>
      </c>
      <c r="B34" t="s">
        <v>1744</v>
      </c>
      <c r="C34" t="s">
        <v>1127</v>
      </c>
      <c r="D34" t="s">
        <v>83</v>
      </c>
      <c r="E34">
        <v>1000</v>
      </c>
      <c r="F34" t="s">
        <v>84</v>
      </c>
      <c r="G34">
        <v>180</v>
      </c>
      <c r="H34">
        <v>570</v>
      </c>
      <c r="I34" s="298">
        <v>102600</v>
      </c>
      <c r="J34" s="298">
        <v>79394</v>
      </c>
    </row>
    <row r="35" spans="1:10">
      <c r="A35" s="1">
        <v>23</v>
      </c>
      <c r="B35" t="s">
        <v>1744</v>
      </c>
      <c r="C35" t="s">
        <v>1108</v>
      </c>
      <c r="D35" t="s">
        <v>83</v>
      </c>
      <c r="E35">
        <v>100</v>
      </c>
      <c r="F35" t="s">
        <v>84</v>
      </c>
      <c r="G35">
        <v>1600</v>
      </c>
      <c r="H35">
        <v>60</v>
      </c>
      <c r="I35" s="298">
        <v>96000</v>
      </c>
      <c r="J35" s="298">
        <v>67600</v>
      </c>
    </row>
    <row r="36" spans="1:10">
      <c r="A36" s="1">
        <v>24</v>
      </c>
      <c r="B36" t="s">
        <v>1744</v>
      </c>
      <c r="C36" t="s">
        <v>943</v>
      </c>
      <c r="D36" t="s">
        <v>88</v>
      </c>
      <c r="E36">
        <v>1</v>
      </c>
      <c r="F36" t="s">
        <v>202</v>
      </c>
      <c r="G36">
        <v>900</v>
      </c>
      <c r="H36">
        <v>80</v>
      </c>
      <c r="I36" s="298">
        <v>72000</v>
      </c>
      <c r="J36" s="298">
        <v>63700</v>
      </c>
    </row>
    <row r="37" spans="1:10">
      <c r="A37" s="1">
        <v>25</v>
      </c>
      <c r="B37" t="s">
        <v>1744</v>
      </c>
      <c r="C37" t="s">
        <v>271</v>
      </c>
      <c r="D37" t="s">
        <v>272</v>
      </c>
      <c r="E37">
        <v>1</v>
      </c>
      <c r="F37" t="s">
        <v>52</v>
      </c>
      <c r="G37">
        <v>1100</v>
      </c>
      <c r="H37">
        <v>87.63</v>
      </c>
      <c r="I37" s="298">
        <v>96393</v>
      </c>
      <c r="J37" s="298">
        <v>62595</v>
      </c>
    </row>
    <row r="38" spans="1:10">
      <c r="A38" s="1">
        <v>26</v>
      </c>
      <c r="B38" t="s">
        <v>1744</v>
      </c>
      <c r="C38" t="s">
        <v>374</v>
      </c>
      <c r="D38" t="s">
        <v>83</v>
      </c>
      <c r="E38">
        <v>1000</v>
      </c>
      <c r="F38" t="s">
        <v>84</v>
      </c>
      <c r="G38">
        <v>40</v>
      </c>
      <c r="H38">
        <v>3000</v>
      </c>
      <c r="I38" s="298">
        <v>120000</v>
      </c>
      <c r="J38" s="298">
        <v>60000</v>
      </c>
    </row>
    <row r="39" spans="1:10">
      <c r="A39" s="1">
        <v>27</v>
      </c>
      <c r="B39" t="s">
        <v>1744</v>
      </c>
      <c r="C39" t="s">
        <v>223</v>
      </c>
      <c r="D39" t="s">
        <v>83</v>
      </c>
      <c r="E39">
        <v>1000</v>
      </c>
      <c r="F39" t="s">
        <v>84</v>
      </c>
      <c r="G39">
        <v>600</v>
      </c>
      <c r="H39">
        <v>150</v>
      </c>
      <c r="I39" s="298">
        <v>90000</v>
      </c>
      <c r="J39" s="298">
        <v>56496</v>
      </c>
    </row>
    <row r="40" spans="1:10">
      <c r="A40" s="1">
        <v>28</v>
      </c>
      <c r="B40" t="s">
        <v>1744</v>
      </c>
      <c r="C40" t="s">
        <v>1295</v>
      </c>
      <c r="D40" t="s">
        <v>83</v>
      </c>
      <c r="E40">
        <v>1000</v>
      </c>
      <c r="F40" t="s">
        <v>84</v>
      </c>
      <c r="G40">
        <v>75</v>
      </c>
      <c r="H40">
        <v>900</v>
      </c>
      <c r="I40" s="298">
        <v>67500</v>
      </c>
      <c r="J40" s="298">
        <v>53928</v>
      </c>
    </row>
    <row r="41" spans="1:10">
      <c r="A41" s="1">
        <v>29</v>
      </c>
      <c r="B41" t="s">
        <v>1744</v>
      </c>
      <c r="C41" t="s">
        <v>558</v>
      </c>
      <c r="D41" t="s">
        <v>83</v>
      </c>
      <c r="E41">
        <v>1000</v>
      </c>
      <c r="F41" t="s">
        <v>84</v>
      </c>
      <c r="G41">
        <v>220</v>
      </c>
      <c r="H41">
        <v>350</v>
      </c>
      <c r="I41" s="298">
        <v>77000</v>
      </c>
      <c r="J41" s="298">
        <v>51200</v>
      </c>
    </row>
    <row r="42" spans="1:10">
      <c r="A42" s="1">
        <v>30</v>
      </c>
      <c r="B42" t="s">
        <v>1744</v>
      </c>
      <c r="C42" t="s">
        <v>304</v>
      </c>
      <c r="D42" t="s">
        <v>83</v>
      </c>
      <c r="E42">
        <v>100</v>
      </c>
      <c r="F42" t="s">
        <v>84</v>
      </c>
      <c r="G42">
        <v>310</v>
      </c>
      <c r="H42">
        <v>192.6</v>
      </c>
      <c r="I42" s="298">
        <v>59706</v>
      </c>
      <c r="J42" s="298">
        <v>48150</v>
      </c>
    </row>
    <row r="43" spans="1:10">
      <c r="B43" t="s">
        <v>1744</v>
      </c>
      <c r="C43" t="s">
        <v>1193</v>
      </c>
      <c r="D43" t="s">
        <v>272</v>
      </c>
      <c r="E43">
        <v>1</v>
      </c>
      <c r="F43" t="s">
        <v>196</v>
      </c>
      <c r="G43">
        <v>2000</v>
      </c>
      <c r="H43">
        <v>45.62</v>
      </c>
      <c r="I43" s="298">
        <v>91240</v>
      </c>
      <c r="J43" s="298">
        <v>43800</v>
      </c>
    </row>
    <row r="44" spans="1:10">
      <c r="B44" t="s">
        <v>1744</v>
      </c>
      <c r="C44" t="s">
        <v>901</v>
      </c>
      <c r="D44" t="s">
        <v>83</v>
      </c>
      <c r="E44">
        <v>1000</v>
      </c>
      <c r="F44" t="s">
        <v>84</v>
      </c>
      <c r="G44">
        <v>45</v>
      </c>
      <c r="H44">
        <v>1498</v>
      </c>
      <c r="I44" s="298">
        <v>67410</v>
      </c>
      <c r="J44" s="298">
        <v>43470</v>
      </c>
    </row>
    <row r="45" spans="1:10">
      <c r="B45" t="s">
        <v>1744</v>
      </c>
      <c r="C45" t="s">
        <v>1243</v>
      </c>
      <c r="D45" t="s">
        <v>83</v>
      </c>
      <c r="E45">
        <v>1000</v>
      </c>
      <c r="F45" t="s">
        <v>84</v>
      </c>
      <c r="G45">
        <v>150</v>
      </c>
      <c r="H45">
        <v>480</v>
      </c>
      <c r="I45" s="298">
        <v>72000</v>
      </c>
      <c r="J45" s="298">
        <v>39600</v>
      </c>
    </row>
    <row r="46" spans="1:10">
      <c r="B46" t="s">
        <v>1744</v>
      </c>
      <c r="C46" t="s">
        <v>1400</v>
      </c>
      <c r="D46" t="s">
        <v>83</v>
      </c>
      <c r="E46">
        <v>100</v>
      </c>
      <c r="F46" t="s">
        <v>84</v>
      </c>
      <c r="G46">
        <v>320</v>
      </c>
      <c r="H46">
        <v>160</v>
      </c>
      <c r="I46" s="298">
        <v>51200</v>
      </c>
      <c r="J46" s="298">
        <v>38160</v>
      </c>
    </row>
    <row r="47" spans="1:10">
      <c r="B47" t="s">
        <v>1744</v>
      </c>
      <c r="C47" t="s">
        <v>1404</v>
      </c>
      <c r="D47" t="s">
        <v>83</v>
      </c>
      <c r="E47">
        <v>100</v>
      </c>
      <c r="F47" t="s">
        <v>84</v>
      </c>
      <c r="G47">
        <v>250</v>
      </c>
      <c r="H47">
        <v>210</v>
      </c>
      <c r="I47" s="298">
        <v>52500</v>
      </c>
      <c r="J47" s="298">
        <v>38000</v>
      </c>
    </row>
    <row r="48" spans="1:10">
      <c r="B48" t="s">
        <v>1744</v>
      </c>
      <c r="C48" t="s">
        <v>820</v>
      </c>
      <c r="D48" t="s">
        <v>195</v>
      </c>
      <c r="E48">
        <v>1</v>
      </c>
      <c r="F48" t="s">
        <v>821</v>
      </c>
      <c r="G48">
        <v>1300</v>
      </c>
      <c r="H48">
        <v>58.85</v>
      </c>
      <c r="I48" s="298">
        <v>76505</v>
      </c>
      <c r="J48" s="298">
        <v>37670</v>
      </c>
    </row>
    <row r="49" spans="2:10">
      <c r="B49" t="s">
        <v>1744</v>
      </c>
      <c r="C49" t="s">
        <v>663</v>
      </c>
      <c r="D49" t="s">
        <v>83</v>
      </c>
      <c r="E49">
        <v>1000</v>
      </c>
      <c r="F49" t="s">
        <v>84</v>
      </c>
      <c r="G49">
        <v>140</v>
      </c>
      <c r="H49">
        <v>350</v>
      </c>
      <c r="I49" s="298">
        <v>49000</v>
      </c>
      <c r="J49" s="298">
        <v>35000</v>
      </c>
    </row>
    <row r="50" spans="2:10">
      <c r="B50" t="s">
        <v>1744</v>
      </c>
      <c r="C50" t="s">
        <v>1007</v>
      </c>
      <c r="D50" t="s">
        <v>88</v>
      </c>
      <c r="E50">
        <v>1</v>
      </c>
      <c r="F50" t="s">
        <v>202</v>
      </c>
      <c r="G50">
        <v>200</v>
      </c>
      <c r="H50">
        <v>80</v>
      </c>
      <c r="I50" s="298">
        <v>16000</v>
      </c>
      <c r="J50" s="298">
        <v>31244</v>
      </c>
    </row>
    <row r="51" spans="2:10">
      <c r="B51" t="s">
        <v>1744</v>
      </c>
      <c r="C51" t="s">
        <v>673</v>
      </c>
      <c r="D51" t="s">
        <v>184</v>
      </c>
      <c r="E51">
        <v>1000</v>
      </c>
      <c r="F51" t="s">
        <v>185</v>
      </c>
      <c r="G51">
        <v>100</v>
      </c>
      <c r="H51">
        <v>700</v>
      </c>
      <c r="I51" s="298">
        <v>70000</v>
      </c>
      <c r="J51" s="298">
        <v>30000</v>
      </c>
    </row>
    <row r="52" spans="2:10">
      <c r="B52" t="s">
        <v>1744</v>
      </c>
      <c r="C52" t="s">
        <v>894</v>
      </c>
      <c r="D52" t="s">
        <v>83</v>
      </c>
      <c r="E52">
        <v>1000</v>
      </c>
      <c r="F52" t="s">
        <v>84</v>
      </c>
      <c r="G52">
        <v>80</v>
      </c>
      <c r="H52">
        <v>700.22</v>
      </c>
      <c r="I52" s="298">
        <v>56017.600000000006</v>
      </c>
      <c r="J52" s="298">
        <v>27200</v>
      </c>
    </row>
    <row r="53" spans="2:10">
      <c r="B53" t="s">
        <v>1744</v>
      </c>
      <c r="C53" t="s">
        <v>1369</v>
      </c>
      <c r="D53" t="s">
        <v>83</v>
      </c>
      <c r="E53">
        <v>1000</v>
      </c>
      <c r="F53" t="s">
        <v>84</v>
      </c>
      <c r="G53">
        <v>30</v>
      </c>
      <c r="H53">
        <v>1000</v>
      </c>
      <c r="I53" s="298">
        <v>30000</v>
      </c>
      <c r="J53" s="298">
        <v>26400</v>
      </c>
    </row>
    <row r="54" spans="2:10">
      <c r="B54" t="s">
        <v>1744</v>
      </c>
      <c r="C54" t="s">
        <v>1408</v>
      </c>
      <c r="D54" t="s">
        <v>83</v>
      </c>
      <c r="E54">
        <v>100</v>
      </c>
      <c r="F54" t="s">
        <v>84</v>
      </c>
      <c r="G54">
        <v>110</v>
      </c>
      <c r="H54">
        <v>240</v>
      </c>
      <c r="I54" s="298">
        <v>26400</v>
      </c>
      <c r="J54" s="298">
        <v>26400</v>
      </c>
    </row>
    <row r="55" spans="2:10">
      <c r="B55" t="s">
        <v>1744</v>
      </c>
      <c r="C55" t="s">
        <v>410</v>
      </c>
      <c r="D55" t="s">
        <v>83</v>
      </c>
      <c r="E55">
        <v>1000</v>
      </c>
      <c r="F55" t="s">
        <v>84</v>
      </c>
      <c r="G55">
        <v>170</v>
      </c>
      <c r="H55">
        <v>320</v>
      </c>
      <c r="I55" s="298">
        <v>54400</v>
      </c>
      <c r="J55" s="298">
        <v>22680</v>
      </c>
    </row>
    <row r="56" spans="2:10">
      <c r="B56" t="s">
        <v>1744</v>
      </c>
      <c r="C56" t="s">
        <v>666</v>
      </c>
      <c r="D56" t="s">
        <v>83</v>
      </c>
      <c r="E56">
        <v>100</v>
      </c>
      <c r="F56" t="s">
        <v>84</v>
      </c>
      <c r="G56">
        <v>150</v>
      </c>
      <c r="H56">
        <v>200</v>
      </c>
      <c r="I56" s="298">
        <v>30000</v>
      </c>
      <c r="J56" s="298">
        <v>22560</v>
      </c>
    </row>
    <row r="57" spans="2:10">
      <c r="B57" t="s">
        <v>1744</v>
      </c>
      <c r="C57" t="s">
        <v>861</v>
      </c>
      <c r="D57" t="s">
        <v>83</v>
      </c>
      <c r="E57">
        <v>1000</v>
      </c>
      <c r="F57" t="s">
        <v>84</v>
      </c>
      <c r="G57">
        <v>150</v>
      </c>
      <c r="H57">
        <v>340</v>
      </c>
      <c r="I57" s="298">
        <v>51000</v>
      </c>
      <c r="J57" s="298">
        <v>22400</v>
      </c>
    </row>
    <row r="58" spans="2:10">
      <c r="B58" t="s">
        <v>1744</v>
      </c>
      <c r="C58" t="s">
        <v>805</v>
      </c>
      <c r="D58" t="s">
        <v>83</v>
      </c>
      <c r="E58">
        <v>1000</v>
      </c>
      <c r="F58" t="s">
        <v>84</v>
      </c>
      <c r="G58">
        <v>60</v>
      </c>
      <c r="H58">
        <v>540</v>
      </c>
      <c r="I58" s="298">
        <v>32400</v>
      </c>
      <c r="J58" s="298">
        <v>21600</v>
      </c>
    </row>
    <row r="59" spans="2:10">
      <c r="B59" t="s">
        <v>1745</v>
      </c>
      <c r="C59" t="s">
        <v>838</v>
      </c>
      <c r="D59" t="s">
        <v>83</v>
      </c>
      <c r="E59">
        <v>1000</v>
      </c>
      <c r="F59" t="s">
        <v>84</v>
      </c>
      <c r="G59">
        <v>75</v>
      </c>
      <c r="H59">
        <v>400</v>
      </c>
      <c r="I59" s="298">
        <v>30000</v>
      </c>
      <c r="J59" s="298">
        <v>21000</v>
      </c>
    </row>
    <row r="60" spans="2:10">
      <c r="B60" t="s">
        <v>1744</v>
      </c>
      <c r="C60" t="s">
        <v>227</v>
      </c>
      <c r="D60" t="s">
        <v>83</v>
      </c>
      <c r="E60">
        <v>1000</v>
      </c>
      <c r="F60" t="s">
        <v>84</v>
      </c>
      <c r="G60">
        <v>150</v>
      </c>
      <c r="H60">
        <v>200</v>
      </c>
      <c r="I60" s="298">
        <v>30000</v>
      </c>
      <c r="J60" s="298">
        <v>18960</v>
      </c>
    </row>
    <row r="61" spans="2:10">
      <c r="B61" t="s">
        <v>1744</v>
      </c>
      <c r="C61" t="s">
        <v>921</v>
      </c>
      <c r="D61" t="s">
        <v>83</v>
      </c>
      <c r="E61">
        <v>1000</v>
      </c>
      <c r="F61" t="s">
        <v>84</v>
      </c>
      <c r="G61">
        <v>60</v>
      </c>
      <c r="H61">
        <v>650</v>
      </c>
      <c r="I61" s="298">
        <v>39000</v>
      </c>
      <c r="J61" s="298">
        <v>17550</v>
      </c>
    </row>
    <row r="62" spans="2:10">
      <c r="B62" t="s">
        <v>1744</v>
      </c>
      <c r="C62" t="s">
        <v>723</v>
      </c>
      <c r="D62" t="s">
        <v>83</v>
      </c>
      <c r="E62">
        <v>1000</v>
      </c>
      <c r="F62" t="s">
        <v>84</v>
      </c>
      <c r="G62">
        <v>160</v>
      </c>
      <c r="H62">
        <v>190</v>
      </c>
      <c r="I62" s="298">
        <v>30400</v>
      </c>
      <c r="J62" s="298">
        <v>14400</v>
      </c>
    </row>
    <row r="63" spans="2:10">
      <c r="B63" t="s">
        <v>1744</v>
      </c>
      <c r="C63" t="s">
        <v>1472</v>
      </c>
      <c r="D63" t="s">
        <v>1446</v>
      </c>
      <c r="E63">
        <v>100</v>
      </c>
      <c r="F63" t="s">
        <v>477</v>
      </c>
      <c r="G63">
        <v>90</v>
      </c>
      <c r="H63">
        <v>321</v>
      </c>
      <c r="I63" s="298">
        <v>28890</v>
      </c>
      <c r="J63" s="298">
        <v>9630</v>
      </c>
    </row>
    <row r="64" spans="2:10">
      <c r="B64" t="s">
        <v>1744</v>
      </c>
      <c r="C64" t="s">
        <v>1489</v>
      </c>
      <c r="D64" t="s">
        <v>83</v>
      </c>
      <c r="E64">
        <v>100</v>
      </c>
      <c r="F64" t="s">
        <v>84</v>
      </c>
      <c r="G64">
        <v>270</v>
      </c>
      <c r="H64">
        <v>100</v>
      </c>
      <c r="I64" s="298">
        <v>27000</v>
      </c>
      <c r="J64" s="298">
        <v>9000</v>
      </c>
    </row>
    <row r="65" spans="2:10">
      <c r="B65" t="s">
        <v>1745</v>
      </c>
      <c r="C65" t="s">
        <v>1136</v>
      </c>
      <c r="D65" t="s">
        <v>83</v>
      </c>
      <c r="E65">
        <v>1000</v>
      </c>
      <c r="F65" t="s">
        <v>84</v>
      </c>
      <c r="G65">
        <v>60</v>
      </c>
      <c r="H65">
        <v>250</v>
      </c>
      <c r="I65" s="298">
        <v>15000</v>
      </c>
      <c r="J65" s="298">
        <v>5000</v>
      </c>
    </row>
    <row r="66" spans="2:10">
      <c r="B66" t="s">
        <v>1744</v>
      </c>
      <c r="C66" t="s">
        <v>1493</v>
      </c>
      <c r="D66" t="s">
        <v>83</v>
      </c>
      <c r="E66">
        <v>100</v>
      </c>
      <c r="F66" t="s">
        <v>84</v>
      </c>
      <c r="G66">
        <v>20</v>
      </c>
      <c r="H66">
        <v>194</v>
      </c>
      <c r="I66" s="298">
        <v>3880</v>
      </c>
      <c r="J66" s="298">
        <v>3900</v>
      </c>
    </row>
    <row r="67" spans="2:10">
      <c r="B67" t="s">
        <v>1744</v>
      </c>
      <c r="C67" t="s">
        <v>1481</v>
      </c>
      <c r="D67" t="s">
        <v>184</v>
      </c>
      <c r="E67">
        <v>60</v>
      </c>
      <c r="F67" t="s">
        <v>185</v>
      </c>
      <c r="G67">
        <v>80</v>
      </c>
      <c r="H67">
        <v>55</v>
      </c>
      <c r="I67" s="298">
        <v>4400</v>
      </c>
      <c r="J67" s="298">
        <v>2054.4</v>
      </c>
    </row>
    <row r="68" spans="2:10">
      <c r="B68" t="s">
        <v>1744</v>
      </c>
      <c r="C68" t="s">
        <v>219</v>
      </c>
      <c r="D68" t="s">
        <v>83</v>
      </c>
      <c r="E68">
        <v>1000</v>
      </c>
      <c r="F68" t="s">
        <v>84</v>
      </c>
      <c r="G68">
        <v>2</v>
      </c>
      <c r="H68">
        <v>480</v>
      </c>
      <c r="I68" s="298">
        <v>960</v>
      </c>
      <c r="J68" s="298">
        <v>958.72</v>
      </c>
    </row>
    <row r="69" spans="2:10">
      <c r="B69" t="s">
        <v>1744</v>
      </c>
      <c r="C69" t="s">
        <v>151</v>
      </c>
      <c r="D69" t="s">
        <v>83</v>
      </c>
      <c r="E69">
        <v>1000</v>
      </c>
      <c r="F69" t="s">
        <v>84</v>
      </c>
      <c r="G69">
        <v>6</v>
      </c>
      <c r="H69">
        <v>450</v>
      </c>
      <c r="I69" s="298">
        <v>2700</v>
      </c>
      <c r="J69" s="298">
        <v>0</v>
      </c>
    </row>
    <row r="70" spans="2:10">
      <c r="B70" t="s">
        <v>1744</v>
      </c>
      <c r="C70" t="s">
        <v>1449</v>
      </c>
      <c r="D70" t="s">
        <v>272</v>
      </c>
      <c r="E70">
        <v>1</v>
      </c>
      <c r="F70" t="s">
        <v>1450</v>
      </c>
      <c r="G70">
        <v>0</v>
      </c>
      <c r="H70">
        <v>110</v>
      </c>
      <c r="I70" s="298">
        <v>0</v>
      </c>
      <c r="J70" s="298">
        <v>0</v>
      </c>
    </row>
    <row r="71" spans="2:10">
      <c r="B71" t="s">
        <v>1744</v>
      </c>
      <c r="C71" t="s">
        <v>1453</v>
      </c>
      <c r="D71" t="s">
        <v>1454</v>
      </c>
      <c r="E71">
        <v>1</v>
      </c>
      <c r="F71" t="s">
        <v>1455</v>
      </c>
      <c r="G71">
        <v>60</v>
      </c>
      <c r="H71">
        <v>662.33</v>
      </c>
      <c r="I71" s="298">
        <v>39739.800000000003</v>
      </c>
      <c r="J71" s="298">
        <v>0</v>
      </c>
    </row>
    <row r="72" spans="2:10">
      <c r="B72" t="s">
        <v>1744</v>
      </c>
      <c r="C72" t="s">
        <v>1475</v>
      </c>
      <c r="D72" t="s">
        <v>1476</v>
      </c>
      <c r="E72">
        <v>1</v>
      </c>
      <c r="F72" t="s">
        <v>1477</v>
      </c>
      <c r="G72">
        <v>40</v>
      </c>
      <c r="H72">
        <v>500</v>
      </c>
      <c r="I72" s="298">
        <v>20000</v>
      </c>
      <c r="J72" s="29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7F01C-8927-455B-94E1-CF2134759C0A}">
  <dimension ref="A1:AX470"/>
  <sheetViews>
    <sheetView topLeftCell="S17" workbookViewId="0">
      <selection activeCell="AF33" sqref="AF33"/>
    </sheetView>
  </sheetViews>
  <sheetFormatPr defaultRowHeight="18.75"/>
  <cols>
    <col min="1" max="1" width="4.375" style="3" customWidth="1"/>
    <col min="2" max="2" width="2.25" style="4" customWidth="1"/>
    <col min="3" max="3" width="2.375" style="5" customWidth="1"/>
    <col min="4" max="5" width="4" style="6" customWidth="1"/>
    <col min="6" max="6" width="2.375" style="280" customWidth="1"/>
    <col min="7" max="7" width="21" style="8" customWidth="1"/>
    <col min="8" max="8" width="3.625" style="8" customWidth="1"/>
    <col min="9" max="9" width="3.125" style="4" customWidth="1"/>
    <col min="10" max="10" width="5.125" style="9" customWidth="1"/>
    <col min="11" max="11" width="4.875" style="10" customWidth="1"/>
    <col min="12" max="12" width="5.25" style="10" customWidth="1"/>
    <col min="13" max="13" width="4.25" style="11" customWidth="1"/>
    <col min="14" max="14" width="5" style="11" customWidth="1"/>
    <col min="15" max="15" width="4.875" style="11" customWidth="1"/>
    <col min="16" max="16" width="5.75" style="11" customWidth="1"/>
    <col min="17" max="17" width="6" style="12" customWidth="1"/>
    <col min="18" max="18" width="7.75" style="13" customWidth="1"/>
    <col min="19" max="19" width="7.375" style="12" customWidth="1"/>
    <col min="20" max="20" width="8.75" style="14" customWidth="1"/>
    <col min="21" max="21" width="6.75" style="15" customWidth="1"/>
    <col min="22" max="22" width="9.5" style="16" customWidth="1"/>
    <col min="23" max="23" width="6.25" style="15" customWidth="1"/>
    <col min="24" max="24" width="6" style="16" customWidth="1"/>
    <col min="25" max="25" width="8.5" style="17" customWidth="1"/>
    <col min="26" max="26" width="8.75" style="17" customWidth="1"/>
    <col min="27" max="27" width="6.75" style="18" customWidth="1"/>
    <col min="28" max="28" width="9.75" style="19" customWidth="1"/>
    <col min="29" max="29" width="7.75" style="19" customWidth="1"/>
    <col min="30" max="30" width="7.625" style="19" customWidth="1"/>
    <col min="31" max="31" width="8.875" style="19" customWidth="1"/>
    <col min="32" max="32" width="9.75" style="19" customWidth="1"/>
    <col min="33" max="33" width="6.75" style="18" customWidth="1"/>
    <col min="34" max="34" width="9.75" style="19" customWidth="1"/>
    <col min="35" max="38" width="9.75" style="20" customWidth="1"/>
    <col min="39" max="39" width="6.75" style="18" customWidth="1"/>
    <col min="40" max="40" width="11" style="19" customWidth="1"/>
    <col min="41" max="41" width="8.5" style="21" customWidth="1"/>
    <col min="42" max="257" width="9" style="3"/>
    <col min="258" max="258" width="4.375" style="3" customWidth="1"/>
    <col min="259" max="259" width="2.25" style="3" customWidth="1"/>
    <col min="260" max="262" width="2.375" style="3" customWidth="1"/>
    <col min="263" max="263" width="21" style="3" customWidth="1"/>
    <col min="264" max="264" width="3.625" style="3" customWidth="1"/>
    <col min="265" max="265" width="3.125" style="3" customWidth="1"/>
    <col min="266" max="266" width="5.125" style="3" customWidth="1"/>
    <col min="267" max="267" width="4.875" style="3" customWidth="1"/>
    <col min="268" max="268" width="5.25" style="3" customWidth="1"/>
    <col min="269" max="269" width="4.25" style="3" customWidth="1"/>
    <col min="270" max="270" width="5" style="3" customWidth="1"/>
    <col min="271" max="271" width="4.875" style="3" customWidth="1"/>
    <col min="272" max="272" width="5.75" style="3" customWidth="1"/>
    <col min="273" max="273" width="6" style="3" customWidth="1"/>
    <col min="274" max="274" width="7.75" style="3" customWidth="1"/>
    <col min="275" max="275" width="7.375" style="3" customWidth="1"/>
    <col min="276" max="276" width="8.75" style="3" customWidth="1"/>
    <col min="277" max="277" width="6.75" style="3" customWidth="1"/>
    <col min="278" max="278" width="9.5" style="3" customWidth="1"/>
    <col min="279" max="279" width="6.25" style="3" customWidth="1"/>
    <col min="280" max="280" width="6" style="3" customWidth="1"/>
    <col min="281" max="281" width="8.5" style="3" customWidth="1"/>
    <col min="282" max="282" width="8.75" style="3" customWidth="1"/>
    <col min="283" max="283" width="6.75" style="3" customWidth="1"/>
    <col min="284" max="284" width="9.75" style="3" customWidth="1"/>
    <col min="285" max="285" width="7.75" style="3" customWidth="1"/>
    <col min="286" max="286" width="7.625" style="3" customWidth="1"/>
    <col min="287" max="287" width="8.875" style="3" customWidth="1"/>
    <col min="288" max="288" width="9.75" style="3" customWidth="1"/>
    <col min="289" max="289" width="6.75" style="3" customWidth="1"/>
    <col min="290" max="294" width="9.75" style="3" customWidth="1"/>
    <col min="295" max="295" width="6.75" style="3" customWidth="1"/>
    <col min="296" max="296" width="11" style="3" customWidth="1"/>
    <col min="297" max="297" width="8.5" style="3" customWidth="1"/>
    <col min="298" max="513" width="9" style="3"/>
    <col min="514" max="514" width="4.375" style="3" customWidth="1"/>
    <col min="515" max="515" width="2.25" style="3" customWidth="1"/>
    <col min="516" max="518" width="2.375" style="3" customWidth="1"/>
    <col min="519" max="519" width="21" style="3" customWidth="1"/>
    <col min="520" max="520" width="3.625" style="3" customWidth="1"/>
    <col min="521" max="521" width="3.125" style="3" customWidth="1"/>
    <col min="522" max="522" width="5.125" style="3" customWidth="1"/>
    <col min="523" max="523" width="4.875" style="3" customWidth="1"/>
    <col min="524" max="524" width="5.25" style="3" customWidth="1"/>
    <col min="525" max="525" width="4.25" style="3" customWidth="1"/>
    <col min="526" max="526" width="5" style="3" customWidth="1"/>
    <col min="527" max="527" width="4.875" style="3" customWidth="1"/>
    <col min="528" max="528" width="5.75" style="3" customWidth="1"/>
    <col min="529" max="529" width="6" style="3" customWidth="1"/>
    <col min="530" max="530" width="7.75" style="3" customWidth="1"/>
    <col min="531" max="531" width="7.375" style="3" customWidth="1"/>
    <col min="532" max="532" width="8.75" style="3" customWidth="1"/>
    <col min="533" max="533" width="6.75" style="3" customWidth="1"/>
    <col min="534" max="534" width="9.5" style="3" customWidth="1"/>
    <col min="535" max="535" width="6.25" style="3" customWidth="1"/>
    <col min="536" max="536" width="6" style="3" customWidth="1"/>
    <col min="537" max="537" width="8.5" style="3" customWidth="1"/>
    <col min="538" max="538" width="8.75" style="3" customWidth="1"/>
    <col min="539" max="539" width="6.75" style="3" customWidth="1"/>
    <col min="540" max="540" width="9.75" style="3" customWidth="1"/>
    <col min="541" max="541" width="7.75" style="3" customWidth="1"/>
    <col min="542" max="542" width="7.625" style="3" customWidth="1"/>
    <col min="543" max="543" width="8.875" style="3" customWidth="1"/>
    <col min="544" max="544" width="9.75" style="3" customWidth="1"/>
    <col min="545" max="545" width="6.75" style="3" customWidth="1"/>
    <col min="546" max="550" width="9.75" style="3" customWidth="1"/>
    <col min="551" max="551" width="6.75" style="3" customWidth="1"/>
    <col min="552" max="552" width="11" style="3" customWidth="1"/>
    <col min="553" max="553" width="8.5" style="3" customWidth="1"/>
    <col min="554" max="769" width="9" style="3"/>
    <col min="770" max="770" width="4.375" style="3" customWidth="1"/>
    <col min="771" max="771" width="2.25" style="3" customWidth="1"/>
    <col min="772" max="774" width="2.375" style="3" customWidth="1"/>
    <col min="775" max="775" width="21" style="3" customWidth="1"/>
    <col min="776" max="776" width="3.625" style="3" customWidth="1"/>
    <col min="777" max="777" width="3.125" style="3" customWidth="1"/>
    <col min="778" max="778" width="5.125" style="3" customWidth="1"/>
    <col min="779" max="779" width="4.875" style="3" customWidth="1"/>
    <col min="780" max="780" width="5.25" style="3" customWidth="1"/>
    <col min="781" max="781" width="4.25" style="3" customWidth="1"/>
    <col min="782" max="782" width="5" style="3" customWidth="1"/>
    <col min="783" max="783" width="4.875" style="3" customWidth="1"/>
    <col min="784" max="784" width="5.75" style="3" customWidth="1"/>
    <col min="785" max="785" width="6" style="3" customWidth="1"/>
    <col min="786" max="786" width="7.75" style="3" customWidth="1"/>
    <col min="787" max="787" width="7.375" style="3" customWidth="1"/>
    <col min="788" max="788" width="8.75" style="3" customWidth="1"/>
    <col min="789" max="789" width="6.75" style="3" customWidth="1"/>
    <col min="790" max="790" width="9.5" style="3" customWidth="1"/>
    <col min="791" max="791" width="6.25" style="3" customWidth="1"/>
    <col min="792" max="792" width="6" style="3" customWidth="1"/>
    <col min="793" max="793" width="8.5" style="3" customWidth="1"/>
    <col min="794" max="794" width="8.75" style="3" customWidth="1"/>
    <col min="795" max="795" width="6.75" style="3" customWidth="1"/>
    <col min="796" max="796" width="9.75" style="3" customWidth="1"/>
    <col min="797" max="797" width="7.75" style="3" customWidth="1"/>
    <col min="798" max="798" width="7.625" style="3" customWidth="1"/>
    <col min="799" max="799" width="8.875" style="3" customWidth="1"/>
    <col min="800" max="800" width="9.75" style="3" customWidth="1"/>
    <col min="801" max="801" width="6.75" style="3" customWidth="1"/>
    <col min="802" max="806" width="9.75" style="3" customWidth="1"/>
    <col min="807" max="807" width="6.75" style="3" customWidth="1"/>
    <col min="808" max="808" width="11" style="3" customWidth="1"/>
    <col min="809" max="809" width="8.5" style="3" customWidth="1"/>
    <col min="810" max="1025" width="9" style="3"/>
    <col min="1026" max="1026" width="4.375" style="3" customWidth="1"/>
    <col min="1027" max="1027" width="2.25" style="3" customWidth="1"/>
    <col min="1028" max="1030" width="2.375" style="3" customWidth="1"/>
    <col min="1031" max="1031" width="21" style="3" customWidth="1"/>
    <col min="1032" max="1032" width="3.625" style="3" customWidth="1"/>
    <col min="1033" max="1033" width="3.125" style="3" customWidth="1"/>
    <col min="1034" max="1034" width="5.125" style="3" customWidth="1"/>
    <col min="1035" max="1035" width="4.875" style="3" customWidth="1"/>
    <col min="1036" max="1036" width="5.25" style="3" customWidth="1"/>
    <col min="1037" max="1037" width="4.25" style="3" customWidth="1"/>
    <col min="1038" max="1038" width="5" style="3" customWidth="1"/>
    <col min="1039" max="1039" width="4.875" style="3" customWidth="1"/>
    <col min="1040" max="1040" width="5.75" style="3" customWidth="1"/>
    <col min="1041" max="1041" width="6" style="3" customWidth="1"/>
    <col min="1042" max="1042" width="7.75" style="3" customWidth="1"/>
    <col min="1043" max="1043" width="7.375" style="3" customWidth="1"/>
    <col min="1044" max="1044" width="8.75" style="3" customWidth="1"/>
    <col min="1045" max="1045" width="6.75" style="3" customWidth="1"/>
    <col min="1046" max="1046" width="9.5" style="3" customWidth="1"/>
    <col min="1047" max="1047" width="6.25" style="3" customWidth="1"/>
    <col min="1048" max="1048" width="6" style="3" customWidth="1"/>
    <col min="1049" max="1049" width="8.5" style="3" customWidth="1"/>
    <col min="1050" max="1050" width="8.75" style="3" customWidth="1"/>
    <col min="1051" max="1051" width="6.75" style="3" customWidth="1"/>
    <col min="1052" max="1052" width="9.75" style="3" customWidth="1"/>
    <col min="1053" max="1053" width="7.75" style="3" customWidth="1"/>
    <col min="1054" max="1054" width="7.625" style="3" customWidth="1"/>
    <col min="1055" max="1055" width="8.875" style="3" customWidth="1"/>
    <col min="1056" max="1056" width="9.75" style="3" customWidth="1"/>
    <col min="1057" max="1057" width="6.75" style="3" customWidth="1"/>
    <col min="1058" max="1062" width="9.75" style="3" customWidth="1"/>
    <col min="1063" max="1063" width="6.75" style="3" customWidth="1"/>
    <col min="1064" max="1064" width="11" style="3" customWidth="1"/>
    <col min="1065" max="1065" width="8.5" style="3" customWidth="1"/>
    <col min="1066" max="1281" width="9" style="3"/>
    <col min="1282" max="1282" width="4.375" style="3" customWidth="1"/>
    <col min="1283" max="1283" width="2.25" style="3" customWidth="1"/>
    <col min="1284" max="1286" width="2.375" style="3" customWidth="1"/>
    <col min="1287" max="1287" width="21" style="3" customWidth="1"/>
    <col min="1288" max="1288" width="3.625" style="3" customWidth="1"/>
    <col min="1289" max="1289" width="3.125" style="3" customWidth="1"/>
    <col min="1290" max="1290" width="5.125" style="3" customWidth="1"/>
    <col min="1291" max="1291" width="4.875" style="3" customWidth="1"/>
    <col min="1292" max="1292" width="5.25" style="3" customWidth="1"/>
    <col min="1293" max="1293" width="4.25" style="3" customWidth="1"/>
    <col min="1294" max="1294" width="5" style="3" customWidth="1"/>
    <col min="1295" max="1295" width="4.875" style="3" customWidth="1"/>
    <col min="1296" max="1296" width="5.75" style="3" customWidth="1"/>
    <col min="1297" max="1297" width="6" style="3" customWidth="1"/>
    <col min="1298" max="1298" width="7.75" style="3" customWidth="1"/>
    <col min="1299" max="1299" width="7.375" style="3" customWidth="1"/>
    <col min="1300" max="1300" width="8.75" style="3" customWidth="1"/>
    <col min="1301" max="1301" width="6.75" style="3" customWidth="1"/>
    <col min="1302" max="1302" width="9.5" style="3" customWidth="1"/>
    <col min="1303" max="1303" width="6.25" style="3" customWidth="1"/>
    <col min="1304" max="1304" width="6" style="3" customWidth="1"/>
    <col min="1305" max="1305" width="8.5" style="3" customWidth="1"/>
    <col min="1306" max="1306" width="8.75" style="3" customWidth="1"/>
    <col min="1307" max="1307" width="6.75" style="3" customWidth="1"/>
    <col min="1308" max="1308" width="9.75" style="3" customWidth="1"/>
    <col min="1309" max="1309" width="7.75" style="3" customWidth="1"/>
    <col min="1310" max="1310" width="7.625" style="3" customWidth="1"/>
    <col min="1311" max="1311" width="8.875" style="3" customWidth="1"/>
    <col min="1312" max="1312" width="9.75" style="3" customWidth="1"/>
    <col min="1313" max="1313" width="6.75" style="3" customWidth="1"/>
    <col min="1314" max="1318" width="9.75" style="3" customWidth="1"/>
    <col min="1319" max="1319" width="6.75" style="3" customWidth="1"/>
    <col min="1320" max="1320" width="11" style="3" customWidth="1"/>
    <col min="1321" max="1321" width="8.5" style="3" customWidth="1"/>
    <col min="1322" max="1537" width="9" style="3"/>
    <col min="1538" max="1538" width="4.375" style="3" customWidth="1"/>
    <col min="1539" max="1539" width="2.25" style="3" customWidth="1"/>
    <col min="1540" max="1542" width="2.375" style="3" customWidth="1"/>
    <col min="1543" max="1543" width="21" style="3" customWidth="1"/>
    <col min="1544" max="1544" width="3.625" style="3" customWidth="1"/>
    <col min="1545" max="1545" width="3.125" style="3" customWidth="1"/>
    <col min="1546" max="1546" width="5.125" style="3" customWidth="1"/>
    <col min="1547" max="1547" width="4.875" style="3" customWidth="1"/>
    <col min="1548" max="1548" width="5.25" style="3" customWidth="1"/>
    <col min="1549" max="1549" width="4.25" style="3" customWidth="1"/>
    <col min="1550" max="1550" width="5" style="3" customWidth="1"/>
    <col min="1551" max="1551" width="4.875" style="3" customWidth="1"/>
    <col min="1552" max="1552" width="5.75" style="3" customWidth="1"/>
    <col min="1553" max="1553" width="6" style="3" customWidth="1"/>
    <col min="1554" max="1554" width="7.75" style="3" customWidth="1"/>
    <col min="1555" max="1555" width="7.375" style="3" customWidth="1"/>
    <col min="1556" max="1556" width="8.75" style="3" customWidth="1"/>
    <col min="1557" max="1557" width="6.75" style="3" customWidth="1"/>
    <col min="1558" max="1558" width="9.5" style="3" customWidth="1"/>
    <col min="1559" max="1559" width="6.25" style="3" customWidth="1"/>
    <col min="1560" max="1560" width="6" style="3" customWidth="1"/>
    <col min="1561" max="1561" width="8.5" style="3" customWidth="1"/>
    <col min="1562" max="1562" width="8.75" style="3" customWidth="1"/>
    <col min="1563" max="1563" width="6.75" style="3" customWidth="1"/>
    <col min="1564" max="1564" width="9.75" style="3" customWidth="1"/>
    <col min="1565" max="1565" width="7.75" style="3" customWidth="1"/>
    <col min="1566" max="1566" width="7.625" style="3" customWidth="1"/>
    <col min="1567" max="1567" width="8.875" style="3" customWidth="1"/>
    <col min="1568" max="1568" width="9.75" style="3" customWidth="1"/>
    <col min="1569" max="1569" width="6.75" style="3" customWidth="1"/>
    <col min="1570" max="1574" width="9.75" style="3" customWidth="1"/>
    <col min="1575" max="1575" width="6.75" style="3" customWidth="1"/>
    <col min="1576" max="1576" width="11" style="3" customWidth="1"/>
    <col min="1577" max="1577" width="8.5" style="3" customWidth="1"/>
    <col min="1578" max="1793" width="9" style="3"/>
    <col min="1794" max="1794" width="4.375" style="3" customWidth="1"/>
    <col min="1795" max="1795" width="2.25" style="3" customWidth="1"/>
    <col min="1796" max="1798" width="2.375" style="3" customWidth="1"/>
    <col min="1799" max="1799" width="21" style="3" customWidth="1"/>
    <col min="1800" max="1800" width="3.625" style="3" customWidth="1"/>
    <col min="1801" max="1801" width="3.125" style="3" customWidth="1"/>
    <col min="1802" max="1802" width="5.125" style="3" customWidth="1"/>
    <col min="1803" max="1803" width="4.875" style="3" customWidth="1"/>
    <col min="1804" max="1804" width="5.25" style="3" customWidth="1"/>
    <col min="1805" max="1805" width="4.25" style="3" customWidth="1"/>
    <col min="1806" max="1806" width="5" style="3" customWidth="1"/>
    <col min="1807" max="1807" width="4.875" style="3" customWidth="1"/>
    <col min="1808" max="1808" width="5.75" style="3" customWidth="1"/>
    <col min="1809" max="1809" width="6" style="3" customWidth="1"/>
    <col min="1810" max="1810" width="7.75" style="3" customWidth="1"/>
    <col min="1811" max="1811" width="7.375" style="3" customWidth="1"/>
    <col min="1812" max="1812" width="8.75" style="3" customWidth="1"/>
    <col min="1813" max="1813" width="6.75" style="3" customWidth="1"/>
    <col min="1814" max="1814" width="9.5" style="3" customWidth="1"/>
    <col min="1815" max="1815" width="6.25" style="3" customWidth="1"/>
    <col min="1816" max="1816" width="6" style="3" customWidth="1"/>
    <col min="1817" max="1817" width="8.5" style="3" customWidth="1"/>
    <col min="1818" max="1818" width="8.75" style="3" customWidth="1"/>
    <col min="1819" max="1819" width="6.75" style="3" customWidth="1"/>
    <col min="1820" max="1820" width="9.75" style="3" customWidth="1"/>
    <col min="1821" max="1821" width="7.75" style="3" customWidth="1"/>
    <col min="1822" max="1822" width="7.625" style="3" customWidth="1"/>
    <col min="1823" max="1823" width="8.875" style="3" customWidth="1"/>
    <col min="1824" max="1824" width="9.75" style="3" customWidth="1"/>
    <col min="1825" max="1825" width="6.75" style="3" customWidth="1"/>
    <col min="1826" max="1830" width="9.75" style="3" customWidth="1"/>
    <col min="1831" max="1831" width="6.75" style="3" customWidth="1"/>
    <col min="1832" max="1832" width="11" style="3" customWidth="1"/>
    <col min="1833" max="1833" width="8.5" style="3" customWidth="1"/>
    <col min="1834" max="2049" width="9" style="3"/>
    <col min="2050" max="2050" width="4.375" style="3" customWidth="1"/>
    <col min="2051" max="2051" width="2.25" style="3" customWidth="1"/>
    <col min="2052" max="2054" width="2.375" style="3" customWidth="1"/>
    <col min="2055" max="2055" width="21" style="3" customWidth="1"/>
    <col min="2056" max="2056" width="3.625" style="3" customWidth="1"/>
    <col min="2057" max="2057" width="3.125" style="3" customWidth="1"/>
    <col min="2058" max="2058" width="5.125" style="3" customWidth="1"/>
    <col min="2059" max="2059" width="4.875" style="3" customWidth="1"/>
    <col min="2060" max="2060" width="5.25" style="3" customWidth="1"/>
    <col min="2061" max="2061" width="4.25" style="3" customWidth="1"/>
    <col min="2062" max="2062" width="5" style="3" customWidth="1"/>
    <col min="2063" max="2063" width="4.875" style="3" customWidth="1"/>
    <col min="2064" max="2064" width="5.75" style="3" customWidth="1"/>
    <col min="2065" max="2065" width="6" style="3" customWidth="1"/>
    <col min="2066" max="2066" width="7.75" style="3" customWidth="1"/>
    <col min="2067" max="2067" width="7.375" style="3" customWidth="1"/>
    <col min="2068" max="2068" width="8.75" style="3" customWidth="1"/>
    <col min="2069" max="2069" width="6.75" style="3" customWidth="1"/>
    <col min="2070" max="2070" width="9.5" style="3" customWidth="1"/>
    <col min="2071" max="2071" width="6.25" style="3" customWidth="1"/>
    <col min="2072" max="2072" width="6" style="3" customWidth="1"/>
    <col min="2073" max="2073" width="8.5" style="3" customWidth="1"/>
    <col min="2074" max="2074" width="8.75" style="3" customWidth="1"/>
    <col min="2075" max="2075" width="6.75" style="3" customWidth="1"/>
    <col min="2076" max="2076" width="9.75" style="3" customWidth="1"/>
    <col min="2077" max="2077" width="7.75" style="3" customWidth="1"/>
    <col min="2078" max="2078" width="7.625" style="3" customWidth="1"/>
    <col min="2079" max="2079" width="8.875" style="3" customWidth="1"/>
    <col min="2080" max="2080" width="9.75" style="3" customWidth="1"/>
    <col min="2081" max="2081" width="6.75" style="3" customWidth="1"/>
    <col min="2082" max="2086" width="9.75" style="3" customWidth="1"/>
    <col min="2087" max="2087" width="6.75" style="3" customWidth="1"/>
    <col min="2088" max="2088" width="11" style="3" customWidth="1"/>
    <col min="2089" max="2089" width="8.5" style="3" customWidth="1"/>
    <col min="2090" max="2305" width="9" style="3"/>
    <col min="2306" max="2306" width="4.375" style="3" customWidth="1"/>
    <col min="2307" max="2307" width="2.25" style="3" customWidth="1"/>
    <col min="2308" max="2310" width="2.375" style="3" customWidth="1"/>
    <col min="2311" max="2311" width="21" style="3" customWidth="1"/>
    <col min="2312" max="2312" width="3.625" style="3" customWidth="1"/>
    <col min="2313" max="2313" width="3.125" style="3" customWidth="1"/>
    <col min="2314" max="2314" width="5.125" style="3" customWidth="1"/>
    <col min="2315" max="2315" width="4.875" style="3" customWidth="1"/>
    <col min="2316" max="2316" width="5.25" style="3" customWidth="1"/>
    <col min="2317" max="2317" width="4.25" style="3" customWidth="1"/>
    <col min="2318" max="2318" width="5" style="3" customWidth="1"/>
    <col min="2319" max="2319" width="4.875" style="3" customWidth="1"/>
    <col min="2320" max="2320" width="5.75" style="3" customWidth="1"/>
    <col min="2321" max="2321" width="6" style="3" customWidth="1"/>
    <col min="2322" max="2322" width="7.75" style="3" customWidth="1"/>
    <col min="2323" max="2323" width="7.375" style="3" customWidth="1"/>
    <col min="2324" max="2324" width="8.75" style="3" customWidth="1"/>
    <col min="2325" max="2325" width="6.75" style="3" customWidth="1"/>
    <col min="2326" max="2326" width="9.5" style="3" customWidth="1"/>
    <col min="2327" max="2327" width="6.25" style="3" customWidth="1"/>
    <col min="2328" max="2328" width="6" style="3" customWidth="1"/>
    <col min="2329" max="2329" width="8.5" style="3" customWidth="1"/>
    <col min="2330" max="2330" width="8.75" style="3" customWidth="1"/>
    <col min="2331" max="2331" width="6.75" style="3" customWidth="1"/>
    <col min="2332" max="2332" width="9.75" style="3" customWidth="1"/>
    <col min="2333" max="2333" width="7.75" style="3" customWidth="1"/>
    <col min="2334" max="2334" width="7.625" style="3" customWidth="1"/>
    <col min="2335" max="2335" width="8.875" style="3" customWidth="1"/>
    <col min="2336" max="2336" width="9.75" style="3" customWidth="1"/>
    <col min="2337" max="2337" width="6.75" style="3" customWidth="1"/>
    <col min="2338" max="2342" width="9.75" style="3" customWidth="1"/>
    <col min="2343" max="2343" width="6.75" style="3" customWidth="1"/>
    <col min="2344" max="2344" width="11" style="3" customWidth="1"/>
    <col min="2345" max="2345" width="8.5" style="3" customWidth="1"/>
    <col min="2346" max="2561" width="9" style="3"/>
    <col min="2562" max="2562" width="4.375" style="3" customWidth="1"/>
    <col min="2563" max="2563" width="2.25" style="3" customWidth="1"/>
    <col min="2564" max="2566" width="2.375" style="3" customWidth="1"/>
    <col min="2567" max="2567" width="21" style="3" customWidth="1"/>
    <col min="2568" max="2568" width="3.625" style="3" customWidth="1"/>
    <col min="2569" max="2569" width="3.125" style="3" customWidth="1"/>
    <col min="2570" max="2570" width="5.125" style="3" customWidth="1"/>
    <col min="2571" max="2571" width="4.875" style="3" customWidth="1"/>
    <col min="2572" max="2572" width="5.25" style="3" customWidth="1"/>
    <col min="2573" max="2573" width="4.25" style="3" customWidth="1"/>
    <col min="2574" max="2574" width="5" style="3" customWidth="1"/>
    <col min="2575" max="2575" width="4.875" style="3" customWidth="1"/>
    <col min="2576" max="2576" width="5.75" style="3" customWidth="1"/>
    <col min="2577" max="2577" width="6" style="3" customWidth="1"/>
    <col min="2578" max="2578" width="7.75" style="3" customWidth="1"/>
    <col min="2579" max="2579" width="7.375" style="3" customWidth="1"/>
    <col min="2580" max="2580" width="8.75" style="3" customWidth="1"/>
    <col min="2581" max="2581" width="6.75" style="3" customWidth="1"/>
    <col min="2582" max="2582" width="9.5" style="3" customWidth="1"/>
    <col min="2583" max="2583" width="6.25" style="3" customWidth="1"/>
    <col min="2584" max="2584" width="6" style="3" customWidth="1"/>
    <col min="2585" max="2585" width="8.5" style="3" customWidth="1"/>
    <col min="2586" max="2586" width="8.75" style="3" customWidth="1"/>
    <col min="2587" max="2587" width="6.75" style="3" customWidth="1"/>
    <col min="2588" max="2588" width="9.75" style="3" customWidth="1"/>
    <col min="2589" max="2589" width="7.75" style="3" customWidth="1"/>
    <col min="2590" max="2590" width="7.625" style="3" customWidth="1"/>
    <col min="2591" max="2591" width="8.875" style="3" customWidth="1"/>
    <col min="2592" max="2592" width="9.75" style="3" customWidth="1"/>
    <col min="2593" max="2593" width="6.75" style="3" customWidth="1"/>
    <col min="2594" max="2598" width="9.75" style="3" customWidth="1"/>
    <col min="2599" max="2599" width="6.75" style="3" customWidth="1"/>
    <col min="2600" max="2600" width="11" style="3" customWidth="1"/>
    <col min="2601" max="2601" width="8.5" style="3" customWidth="1"/>
    <col min="2602" max="2817" width="9" style="3"/>
    <col min="2818" max="2818" width="4.375" style="3" customWidth="1"/>
    <col min="2819" max="2819" width="2.25" style="3" customWidth="1"/>
    <col min="2820" max="2822" width="2.375" style="3" customWidth="1"/>
    <col min="2823" max="2823" width="21" style="3" customWidth="1"/>
    <col min="2824" max="2824" width="3.625" style="3" customWidth="1"/>
    <col min="2825" max="2825" width="3.125" style="3" customWidth="1"/>
    <col min="2826" max="2826" width="5.125" style="3" customWidth="1"/>
    <col min="2827" max="2827" width="4.875" style="3" customWidth="1"/>
    <col min="2828" max="2828" width="5.25" style="3" customWidth="1"/>
    <col min="2829" max="2829" width="4.25" style="3" customWidth="1"/>
    <col min="2830" max="2830" width="5" style="3" customWidth="1"/>
    <col min="2831" max="2831" width="4.875" style="3" customWidth="1"/>
    <col min="2832" max="2832" width="5.75" style="3" customWidth="1"/>
    <col min="2833" max="2833" width="6" style="3" customWidth="1"/>
    <col min="2834" max="2834" width="7.75" style="3" customWidth="1"/>
    <col min="2835" max="2835" width="7.375" style="3" customWidth="1"/>
    <col min="2836" max="2836" width="8.75" style="3" customWidth="1"/>
    <col min="2837" max="2837" width="6.75" style="3" customWidth="1"/>
    <col min="2838" max="2838" width="9.5" style="3" customWidth="1"/>
    <col min="2839" max="2839" width="6.25" style="3" customWidth="1"/>
    <col min="2840" max="2840" width="6" style="3" customWidth="1"/>
    <col min="2841" max="2841" width="8.5" style="3" customWidth="1"/>
    <col min="2842" max="2842" width="8.75" style="3" customWidth="1"/>
    <col min="2843" max="2843" width="6.75" style="3" customWidth="1"/>
    <col min="2844" max="2844" width="9.75" style="3" customWidth="1"/>
    <col min="2845" max="2845" width="7.75" style="3" customWidth="1"/>
    <col min="2846" max="2846" width="7.625" style="3" customWidth="1"/>
    <col min="2847" max="2847" width="8.875" style="3" customWidth="1"/>
    <col min="2848" max="2848" width="9.75" style="3" customWidth="1"/>
    <col min="2849" max="2849" width="6.75" style="3" customWidth="1"/>
    <col min="2850" max="2854" width="9.75" style="3" customWidth="1"/>
    <col min="2855" max="2855" width="6.75" style="3" customWidth="1"/>
    <col min="2856" max="2856" width="11" style="3" customWidth="1"/>
    <col min="2857" max="2857" width="8.5" style="3" customWidth="1"/>
    <col min="2858" max="3073" width="9" style="3"/>
    <col min="3074" max="3074" width="4.375" style="3" customWidth="1"/>
    <col min="3075" max="3075" width="2.25" style="3" customWidth="1"/>
    <col min="3076" max="3078" width="2.375" style="3" customWidth="1"/>
    <col min="3079" max="3079" width="21" style="3" customWidth="1"/>
    <col min="3080" max="3080" width="3.625" style="3" customWidth="1"/>
    <col min="3081" max="3081" width="3.125" style="3" customWidth="1"/>
    <col min="3082" max="3082" width="5.125" style="3" customWidth="1"/>
    <col min="3083" max="3083" width="4.875" style="3" customWidth="1"/>
    <col min="3084" max="3084" width="5.25" style="3" customWidth="1"/>
    <col min="3085" max="3085" width="4.25" style="3" customWidth="1"/>
    <col min="3086" max="3086" width="5" style="3" customWidth="1"/>
    <col min="3087" max="3087" width="4.875" style="3" customWidth="1"/>
    <col min="3088" max="3088" width="5.75" style="3" customWidth="1"/>
    <col min="3089" max="3089" width="6" style="3" customWidth="1"/>
    <col min="3090" max="3090" width="7.75" style="3" customWidth="1"/>
    <col min="3091" max="3091" width="7.375" style="3" customWidth="1"/>
    <col min="3092" max="3092" width="8.75" style="3" customWidth="1"/>
    <col min="3093" max="3093" width="6.75" style="3" customWidth="1"/>
    <col min="3094" max="3094" width="9.5" style="3" customWidth="1"/>
    <col min="3095" max="3095" width="6.25" style="3" customWidth="1"/>
    <col min="3096" max="3096" width="6" style="3" customWidth="1"/>
    <col min="3097" max="3097" width="8.5" style="3" customWidth="1"/>
    <col min="3098" max="3098" width="8.75" style="3" customWidth="1"/>
    <col min="3099" max="3099" width="6.75" style="3" customWidth="1"/>
    <col min="3100" max="3100" width="9.75" style="3" customWidth="1"/>
    <col min="3101" max="3101" width="7.75" style="3" customWidth="1"/>
    <col min="3102" max="3102" width="7.625" style="3" customWidth="1"/>
    <col min="3103" max="3103" width="8.875" style="3" customWidth="1"/>
    <col min="3104" max="3104" width="9.75" style="3" customWidth="1"/>
    <col min="3105" max="3105" width="6.75" style="3" customWidth="1"/>
    <col min="3106" max="3110" width="9.75" style="3" customWidth="1"/>
    <col min="3111" max="3111" width="6.75" style="3" customWidth="1"/>
    <col min="3112" max="3112" width="11" style="3" customWidth="1"/>
    <col min="3113" max="3113" width="8.5" style="3" customWidth="1"/>
    <col min="3114" max="3329" width="9" style="3"/>
    <col min="3330" max="3330" width="4.375" style="3" customWidth="1"/>
    <col min="3331" max="3331" width="2.25" style="3" customWidth="1"/>
    <col min="3332" max="3334" width="2.375" style="3" customWidth="1"/>
    <col min="3335" max="3335" width="21" style="3" customWidth="1"/>
    <col min="3336" max="3336" width="3.625" style="3" customWidth="1"/>
    <col min="3337" max="3337" width="3.125" style="3" customWidth="1"/>
    <col min="3338" max="3338" width="5.125" style="3" customWidth="1"/>
    <col min="3339" max="3339" width="4.875" style="3" customWidth="1"/>
    <col min="3340" max="3340" width="5.25" style="3" customWidth="1"/>
    <col min="3341" max="3341" width="4.25" style="3" customWidth="1"/>
    <col min="3342" max="3342" width="5" style="3" customWidth="1"/>
    <col min="3343" max="3343" width="4.875" style="3" customWidth="1"/>
    <col min="3344" max="3344" width="5.75" style="3" customWidth="1"/>
    <col min="3345" max="3345" width="6" style="3" customWidth="1"/>
    <col min="3346" max="3346" width="7.75" style="3" customWidth="1"/>
    <col min="3347" max="3347" width="7.375" style="3" customWidth="1"/>
    <col min="3348" max="3348" width="8.75" style="3" customWidth="1"/>
    <col min="3349" max="3349" width="6.75" style="3" customWidth="1"/>
    <col min="3350" max="3350" width="9.5" style="3" customWidth="1"/>
    <col min="3351" max="3351" width="6.25" style="3" customWidth="1"/>
    <col min="3352" max="3352" width="6" style="3" customWidth="1"/>
    <col min="3353" max="3353" width="8.5" style="3" customWidth="1"/>
    <col min="3354" max="3354" width="8.75" style="3" customWidth="1"/>
    <col min="3355" max="3355" width="6.75" style="3" customWidth="1"/>
    <col min="3356" max="3356" width="9.75" style="3" customWidth="1"/>
    <col min="3357" max="3357" width="7.75" style="3" customWidth="1"/>
    <col min="3358" max="3358" width="7.625" style="3" customWidth="1"/>
    <col min="3359" max="3359" width="8.875" style="3" customWidth="1"/>
    <col min="3360" max="3360" width="9.75" style="3" customWidth="1"/>
    <col min="3361" max="3361" width="6.75" style="3" customWidth="1"/>
    <col min="3362" max="3366" width="9.75" style="3" customWidth="1"/>
    <col min="3367" max="3367" width="6.75" style="3" customWidth="1"/>
    <col min="3368" max="3368" width="11" style="3" customWidth="1"/>
    <col min="3369" max="3369" width="8.5" style="3" customWidth="1"/>
    <col min="3370" max="3585" width="9" style="3"/>
    <col min="3586" max="3586" width="4.375" style="3" customWidth="1"/>
    <col min="3587" max="3587" width="2.25" style="3" customWidth="1"/>
    <col min="3588" max="3590" width="2.375" style="3" customWidth="1"/>
    <col min="3591" max="3591" width="21" style="3" customWidth="1"/>
    <col min="3592" max="3592" width="3.625" style="3" customWidth="1"/>
    <col min="3593" max="3593" width="3.125" style="3" customWidth="1"/>
    <col min="3594" max="3594" width="5.125" style="3" customWidth="1"/>
    <col min="3595" max="3595" width="4.875" style="3" customWidth="1"/>
    <col min="3596" max="3596" width="5.25" style="3" customWidth="1"/>
    <col min="3597" max="3597" width="4.25" style="3" customWidth="1"/>
    <col min="3598" max="3598" width="5" style="3" customWidth="1"/>
    <col min="3599" max="3599" width="4.875" style="3" customWidth="1"/>
    <col min="3600" max="3600" width="5.75" style="3" customWidth="1"/>
    <col min="3601" max="3601" width="6" style="3" customWidth="1"/>
    <col min="3602" max="3602" width="7.75" style="3" customWidth="1"/>
    <col min="3603" max="3603" width="7.375" style="3" customWidth="1"/>
    <col min="3604" max="3604" width="8.75" style="3" customWidth="1"/>
    <col min="3605" max="3605" width="6.75" style="3" customWidth="1"/>
    <col min="3606" max="3606" width="9.5" style="3" customWidth="1"/>
    <col min="3607" max="3607" width="6.25" style="3" customWidth="1"/>
    <col min="3608" max="3608" width="6" style="3" customWidth="1"/>
    <col min="3609" max="3609" width="8.5" style="3" customWidth="1"/>
    <col min="3610" max="3610" width="8.75" style="3" customWidth="1"/>
    <col min="3611" max="3611" width="6.75" style="3" customWidth="1"/>
    <col min="3612" max="3612" width="9.75" style="3" customWidth="1"/>
    <col min="3613" max="3613" width="7.75" style="3" customWidth="1"/>
    <col min="3614" max="3614" width="7.625" style="3" customWidth="1"/>
    <col min="3615" max="3615" width="8.875" style="3" customWidth="1"/>
    <col min="3616" max="3616" width="9.75" style="3" customWidth="1"/>
    <col min="3617" max="3617" width="6.75" style="3" customWidth="1"/>
    <col min="3618" max="3622" width="9.75" style="3" customWidth="1"/>
    <col min="3623" max="3623" width="6.75" style="3" customWidth="1"/>
    <col min="3624" max="3624" width="11" style="3" customWidth="1"/>
    <col min="3625" max="3625" width="8.5" style="3" customWidth="1"/>
    <col min="3626" max="3841" width="9" style="3"/>
    <col min="3842" max="3842" width="4.375" style="3" customWidth="1"/>
    <col min="3843" max="3843" width="2.25" style="3" customWidth="1"/>
    <col min="3844" max="3846" width="2.375" style="3" customWidth="1"/>
    <col min="3847" max="3847" width="21" style="3" customWidth="1"/>
    <col min="3848" max="3848" width="3.625" style="3" customWidth="1"/>
    <col min="3849" max="3849" width="3.125" style="3" customWidth="1"/>
    <col min="3850" max="3850" width="5.125" style="3" customWidth="1"/>
    <col min="3851" max="3851" width="4.875" style="3" customWidth="1"/>
    <col min="3852" max="3852" width="5.25" style="3" customWidth="1"/>
    <col min="3853" max="3853" width="4.25" style="3" customWidth="1"/>
    <col min="3854" max="3854" width="5" style="3" customWidth="1"/>
    <col min="3855" max="3855" width="4.875" style="3" customWidth="1"/>
    <col min="3856" max="3856" width="5.75" style="3" customWidth="1"/>
    <col min="3857" max="3857" width="6" style="3" customWidth="1"/>
    <col min="3858" max="3858" width="7.75" style="3" customWidth="1"/>
    <col min="3859" max="3859" width="7.375" style="3" customWidth="1"/>
    <col min="3860" max="3860" width="8.75" style="3" customWidth="1"/>
    <col min="3861" max="3861" width="6.75" style="3" customWidth="1"/>
    <col min="3862" max="3862" width="9.5" style="3" customWidth="1"/>
    <col min="3863" max="3863" width="6.25" style="3" customWidth="1"/>
    <col min="3864" max="3864" width="6" style="3" customWidth="1"/>
    <col min="3865" max="3865" width="8.5" style="3" customWidth="1"/>
    <col min="3866" max="3866" width="8.75" style="3" customWidth="1"/>
    <col min="3867" max="3867" width="6.75" style="3" customWidth="1"/>
    <col min="3868" max="3868" width="9.75" style="3" customWidth="1"/>
    <col min="3869" max="3869" width="7.75" style="3" customWidth="1"/>
    <col min="3870" max="3870" width="7.625" style="3" customWidth="1"/>
    <col min="3871" max="3871" width="8.875" style="3" customWidth="1"/>
    <col min="3872" max="3872" width="9.75" style="3" customWidth="1"/>
    <col min="3873" max="3873" width="6.75" style="3" customWidth="1"/>
    <col min="3874" max="3878" width="9.75" style="3" customWidth="1"/>
    <col min="3879" max="3879" width="6.75" style="3" customWidth="1"/>
    <col min="3880" max="3880" width="11" style="3" customWidth="1"/>
    <col min="3881" max="3881" width="8.5" style="3" customWidth="1"/>
    <col min="3882" max="4097" width="9" style="3"/>
    <col min="4098" max="4098" width="4.375" style="3" customWidth="1"/>
    <col min="4099" max="4099" width="2.25" style="3" customWidth="1"/>
    <col min="4100" max="4102" width="2.375" style="3" customWidth="1"/>
    <col min="4103" max="4103" width="21" style="3" customWidth="1"/>
    <col min="4104" max="4104" width="3.625" style="3" customWidth="1"/>
    <col min="4105" max="4105" width="3.125" style="3" customWidth="1"/>
    <col min="4106" max="4106" width="5.125" style="3" customWidth="1"/>
    <col min="4107" max="4107" width="4.875" style="3" customWidth="1"/>
    <col min="4108" max="4108" width="5.25" style="3" customWidth="1"/>
    <col min="4109" max="4109" width="4.25" style="3" customWidth="1"/>
    <col min="4110" max="4110" width="5" style="3" customWidth="1"/>
    <col min="4111" max="4111" width="4.875" style="3" customWidth="1"/>
    <col min="4112" max="4112" width="5.75" style="3" customWidth="1"/>
    <col min="4113" max="4113" width="6" style="3" customWidth="1"/>
    <col min="4114" max="4114" width="7.75" style="3" customWidth="1"/>
    <col min="4115" max="4115" width="7.375" style="3" customWidth="1"/>
    <col min="4116" max="4116" width="8.75" style="3" customWidth="1"/>
    <col min="4117" max="4117" width="6.75" style="3" customWidth="1"/>
    <col min="4118" max="4118" width="9.5" style="3" customWidth="1"/>
    <col min="4119" max="4119" width="6.25" style="3" customWidth="1"/>
    <col min="4120" max="4120" width="6" style="3" customWidth="1"/>
    <col min="4121" max="4121" width="8.5" style="3" customWidth="1"/>
    <col min="4122" max="4122" width="8.75" style="3" customWidth="1"/>
    <col min="4123" max="4123" width="6.75" style="3" customWidth="1"/>
    <col min="4124" max="4124" width="9.75" style="3" customWidth="1"/>
    <col min="4125" max="4125" width="7.75" style="3" customWidth="1"/>
    <col min="4126" max="4126" width="7.625" style="3" customWidth="1"/>
    <col min="4127" max="4127" width="8.875" style="3" customWidth="1"/>
    <col min="4128" max="4128" width="9.75" style="3" customWidth="1"/>
    <col min="4129" max="4129" width="6.75" style="3" customWidth="1"/>
    <col min="4130" max="4134" width="9.75" style="3" customWidth="1"/>
    <col min="4135" max="4135" width="6.75" style="3" customWidth="1"/>
    <col min="4136" max="4136" width="11" style="3" customWidth="1"/>
    <col min="4137" max="4137" width="8.5" style="3" customWidth="1"/>
    <col min="4138" max="4353" width="9" style="3"/>
    <col min="4354" max="4354" width="4.375" style="3" customWidth="1"/>
    <col min="4355" max="4355" width="2.25" style="3" customWidth="1"/>
    <col min="4356" max="4358" width="2.375" style="3" customWidth="1"/>
    <col min="4359" max="4359" width="21" style="3" customWidth="1"/>
    <col min="4360" max="4360" width="3.625" style="3" customWidth="1"/>
    <col min="4361" max="4361" width="3.125" style="3" customWidth="1"/>
    <col min="4362" max="4362" width="5.125" style="3" customWidth="1"/>
    <col min="4363" max="4363" width="4.875" style="3" customWidth="1"/>
    <col min="4364" max="4364" width="5.25" style="3" customWidth="1"/>
    <col min="4365" max="4365" width="4.25" style="3" customWidth="1"/>
    <col min="4366" max="4366" width="5" style="3" customWidth="1"/>
    <col min="4367" max="4367" width="4.875" style="3" customWidth="1"/>
    <col min="4368" max="4368" width="5.75" style="3" customWidth="1"/>
    <col min="4369" max="4369" width="6" style="3" customWidth="1"/>
    <col min="4370" max="4370" width="7.75" style="3" customWidth="1"/>
    <col min="4371" max="4371" width="7.375" style="3" customWidth="1"/>
    <col min="4372" max="4372" width="8.75" style="3" customWidth="1"/>
    <col min="4373" max="4373" width="6.75" style="3" customWidth="1"/>
    <col min="4374" max="4374" width="9.5" style="3" customWidth="1"/>
    <col min="4375" max="4375" width="6.25" style="3" customWidth="1"/>
    <col min="4376" max="4376" width="6" style="3" customWidth="1"/>
    <col min="4377" max="4377" width="8.5" style="3" customWidth="1"/>
    <col min="4378" max="4378" width="8.75" style="3" customWidth="1"/>
    <col min="4379" max="4379" width="6.75" style="3" customWidth="1"/>
    <col min="4380" max="4380" width="9.75" style="3" customWidth="1"/>
    <col min="4381" max="4381" width="7.75" style="3" customWidth="1"/>
    <col min="4382" max="4382" width="7.625" style="3" customWidth="1"/>
    <col min="4383" max="4383" width="8.875" style="3" customWidth="1"/>
    <col min="4384" max="4384" width="9.75" style="3" customWidth="1"/>
    <col min="4385" max="4385" width="6.75" style="3" customWidth="1"/>
    <col min="4386" max="4390" width="9.75" style="3" customWidth="1"/>
    <col min="4391" max="4391" width="6.75" style="3" customWidth="1"/>
    <col min="4392" max="4392" width="11" style="3" customWidth="1"/>
    <col min="4393" max="4393" width="8.5" style="3" customWidth="1"/>
    <col min="4394" max="4609" width="9" style="3"/>
    <col min="4610" max="4610" width="4.375" style="3" customWidth="1"/>
    <col min="4611" max="4611" width="2.25" style="3" customWidth="1"/>
    <col min="4612" max="4614" width="2.375" style="3" customWidth="1"/>
    <col min="4615" max="4615" width="21" style="3" customWidth="1"/>
    <col min="4616" max="4616" width="3.625" style="3" customWidth="1"/>
    <col min="4617" max="4617" width="3.125" style="3" customWidth="1"/>
    <col min="4618" max="4618" width="5.125" style="3" customWidth="1"/>
    <col min="4619" max="4619" width="4.875" style="3" customWidth="1"/>
    <col min="4620" max="4620" width="5.25" style="3" customWidth="1"/>
    <col min="4621" max="4621" width="4.25" style="3" customWidth="1"/>
    <col min="4622" max="4622" width="5" style="3" customWidth="1"/>
    <col min="4623" max="4623" width="4.875" style="3" customWidth="1"/>
    <col min="4624" max="4624" width="5.75" style="3" customWidth="1"/>
    <col min="4625" max="4625" width="6" style="3" customWidth="1"/>
    <col min="4626" max="4626" width="7.75" style="3" customWidth="1"/>
    <col min="4627" max="4627" width="7.375" style="3" customWidth="1"/>
    <col min="4628" max="4628" width="8.75" style="3" customWidth="1"/>
    <col min="4629" max="4629" width="6.75" style="3" customWidth="1"/>
    <col min="4630" max="4630" width="9.5" style="3" customWidth="1"/>
    <col min="4631" max="4631" width="6.25" style="3" customWidth="1"/>
    <col min="4632" max="4632" width="6" style="3" customWidth="1"/>
    <col min="4633" max="4633" width="8.5" style="3" customWidth="1"/>
    <col min="4634" max="4634" width="8.75" style="3" customWidth="1"/>
    <col min="4635" max="4635" width="6.75" style="3" customWidth="1"/>
    <col min="4636" max="4636" width="9.75" style="3" customWidth="1"/>
    <col min="4637" max="4637" width="7.75" style="3" customWidth="1"/>
    <col min="4638" max="4638" width="7.625" style="3" customWidth="1"/>
    <col min="4639" max="4639" width="8.875" style="3" customWidth="1"/>
    <col min="4640" max="4640" width="9.75" style="3" customWidth="1"/>
    <col min="4641" max="4641" width="6.75" style="3" customWidth="1"/>
    <col min="4642" max="4646" width="9.75" style="3" customWidth="1"/>
    <col min="4647" max="4647" width="6.75" style="3" customWidth="1"/>
    <col min="4648" max="4648" width="11" style="3" customWidth="1"/>
    <col min="4649" max="4649" width="8.5" style="3" customWidth="1"/>
    <col min="4650" max="4865" width="9" style="3"/>
    <col min="4866" max="4866" width="4.375" style="3" customWidth="1"/>
    <col min="4867" max="4867" width="2.25" style="3" customWidth="1"/>
    <col min="4868" max="4870" width="2.375" style="3" customWidth="1"/>
    <col min="4871" max="4871" width="21" style="3" customWidth="1"/>
    <col min="4872" max="4872" width="3.625" style="3" customWidth="1"/>
    <col min="4873" max="4873" width="3.125" style="3" customWidth="1"/>
    <col min="4874" max="4874" width="5.125" style="3" customWidth="1"/>
    <col min="4875" max="4875" width="4.875" style="3" customWidth="1"/>
    <col min="4876" max="4876" width="5.25" style="3" customWidth="1"/>
    <col min="4877" max="4877" width="4.25" style="3" customWidth="1"/>
    <col min="4878" max="4878" width="5" style="3" customWidth="1"/>
    <col min="4879" max="4879" width="4.875" style="3" customWidth="1"/>
    <col min="4880" max="4880" width="5.75" style="3" customWidth="1"/>
    <col min="4881" max="4881" width="6" style="3" customWidth="1"/>
    <col min="4882" max="4882" width="7.75" style="3" customWidth="1"/>
    <col min="4883" max="4883" width="7.375" style="3" customWidth="1"/>
    <col min="4884" max="4884" width="8.75" style="3" customWidth="1"/>
    <col min="4885" max="4885" width="6.75" style="3" customWidth="1"/>
    <col min="4886" max="4886" width="9.5" style="3" customWidth="1"/>
    <col min="4887" max="4887" width="6.25" style="3" customWidth="1"/>
    <col min="4888" max="4888" width="6" style="3" customWidth="1"/>
    <col min="4889" max="4889" width="8.5" style="3" customWidth="1"/>
    <col min="4890" max="4890" width="8.75" style="3" customWidth="1"/>
    <col min="4891" max="4891" width="6.75" style="3" customWidth="1"/>
    <col min="4892" max="4892" width="9.75" style="3" customWidth="1"/>
    <col min="4893" max="4893" width="7.75" style="3" customWidth="1"/>
    <col min="4894" max="4894" width="7.625" style="3" customWidth="1"/>
    <col min="4895" max="4895" width="8.875" style="3" customWidth="1"/>
    <col min="4896" max="4896" width="9.75" style="3" customWidth="1"/>
    <col min="4897" max="4897" width="6.75" style="3" customWidth="1"/>
    <col min="4898" max="4902" width="9.75" style="3" customWidth="1"/>
    <col min="4903" max="4903" width="6.75" style="3" customWidth="1"/>
    <col min="4904" max="4904" width="11" style="3" customWidth="1"/>
    <col min="4905" max="4905" width="8.5" style="3" customWidth="1"/>
    <col min="4906" max="5121" width="9" style="3"/>
    <col min="5122" max="5122" width="4.375" style="3" customWidth="1"/>
    <col min="5123" max="5123" width="2.25" style="3" customWidth="1"/>
    <col min="5124" max="5126" width="2.375" style="3" customWidth="1"/>
    <col min="5127" max="5127" width="21" style="3" customWidth="1"/>
    <col min="5128" max="5128" width="3.625" style="3" customWidth="1"/>
    <col min="5129" max="5129" width="3.125" style="3" customWidth="1"/>
    <col min="5130" max="5130" width="5.125" style="3" customWidth="1"/>
    <col min="5131" max="5131" width="4.875" style="3" customWidth="1"/>
    <col min="5132" max="5132" width="5.25" style="3" customWidth="1"/>
    <col min="5133" max="5133" width="4.25" style="3" customWidth="1"/>
    <col min="5134" max="5134" width="5" style="3" customWidth="1"/>
    <col min="5135" max="5135" width="4.875" style="3" customWidth="1"/>
    <col min="5136" max="5136" width="5.75" style="3" customWidth="1"/>
    <col min="5137" max="5137" width="6" style="3" customWidth="1"/>
    <col min="5138" max="5138" width="7.75" style="3" customWidth="1"/>
    <col min="5139" max="5139" width="7.375" style="3" customWidth="1"/>
    <col min="5140" max="5140" width="8.75" style="3" customWidth="1"/>
    <col min="5141" max="5141" width="6.75" style="3" customWidth="1"/>
    <col min="5142" max="5142" width="9.5" style="3" customWidth="1"/>
    <col min="5143" max="5143" width="6.25" style="3" customWidth="1"/>
    <col min="5144" max="5144" width="6" style="3" customWidth="1"/>
    <col min="5145" max="5145" width="8.5" style="3" customWidth="1"/>
    <col min="5146" max="5146" width="8.75" style="3" customWidth="1"/>
    <col min="5147" max="5147" width="6.75" style="3" customWidth="1"/>
    <col min="5148" max="5148" width="9.75" style="3" customWidth="1"/>
    <col min="5149" max="5149" width="7.75" style="3" customWidth="1"/>
    <col min="5150" max="5150" width="7.625" style="3" customWidth="1"/>
    <col min="5151" max="5151" width="8.875" style="3" customWidth="1"/>
    <col min="5152" max="5152" width="9.75" style="3" customWidth="1"/>
    <col min="5153" max="5153" width="6.75" style="3" customWidth="1"/>
    <col min="5154" max="5158" width="9.75" style="3" customWidth="1"/>
    <col min="5159" max="5159" width="6.75" style="3" customWidth="1"/>
    <col min="5160" max="5160" width="11" style="3" customWidth="1"/>
    <col min="5161" max="5161" width="8.5" style="3" customWidth="1"/>
    <col min="5162" max="5377" width="9" style="3"/>
    <col min="5378" max="5378" width="4.375" style="3" customWidth="1"/>
    <col min="5379" max="5379" width="2.25" style="3" customWidth="1"/>
    <col min="5380" max="5382" width="2.375" style="3" customWidth="1"/>
    <col min="5383" max="5383" width="21" style="3" customWidth="1"/>
    <col min="5384" max="5384" width="3.625" style="3" customWidth="1"/>
    <col min="5385" max="5385" width="3.125" style="3" customWidth="1"/>
    <col min="5386" max="5386" width="5.125" style="3" customWidth="1"/>
    <col min="5387" max="5387" width="4.875" style="3" customWidth="1"/>
    <col min="5388" max="5388" width="5.25" style="3" customWidth="1"/>
    <col min="5389" max="5389" width="4.25" style="3" customWidth="1"/>
    <col min="5390" max="5390" width="5" style="3" customWidth="1"/>
    <col min="5391" max="5391" width="4.875" style="3" customWidth="1"/>
    <col min="5392" max="5392" width="5.75" style="3" customWidth="1"/>
    <col min="5393" max="5393" width="6" style="3" customWidth="1"/>
    <col min="5394" max="5394" width="7.75" style="3" customWidth="1"/>
    <col min="5395" max="5395" width="7.375" style="3" customWidth="1"/>
    <col min="5396" max="5396" width="8.75" style="3" customWidth="1"/>
    <col min="5397" max="5397" width="6.75" style="3" customWidth="1"/>
    <col min="5398" max="5398" width="9.5" style="3" customWidth="1"/>
    <col min="5399" max="5399" width="6.25" style="3" customWidth="1"/>
    <col min="5400" max="5400" width="6" style="3" customWidth="1"/>
    <col min="5401" max="5401" width="8.5" style="3" customWidth="1"/>
    <col min="5402" max="5402" width="8.75" style="3" customWidth="1"/>
    <col min="5403" max="5403" width="6.75" style="3" customWidth="1"/>
    <col min="5404" max="5404" width="9.75" style="3" customWidth="1"/>
    <col min="5405" max="5405" width="7.75" style="3" customWidth="1"/>
    <col min="5406" max="5406" width="7.625" style="3" customWidth="1"/>
    <col min="5407" max="5407" width="8.875" style="3" customWidth="1"/>
    <col min="5408" max="5408" width="9.75" style="3" customWidth="1"/>
    <col min="5409" max="5409" width="6.75" style="3" customWidth="1"/>
    <col min="5410" max="5414" width="9.75" style="3" customWidth="1"/>
    <col min="5415" max="5415" width="6.75" style="3" customWidth="1"/>
    <col min="5416" max="5416" width="11" style="3" customWidth="1"/>
    <col min="5417" max="5417" width="8.5" style="3" customWidth="1"/>
    <col min="5418" max="5633" width="9" style="3"/>
    <col min="5634" max="5634" width="4.375" style="3" customWidth="1"/>
    <col min="5635" max="5635" width="2.25" style="3" customWidth="1"/>
    <col min="5636" max="5638" width="2.375" style="3" customWidth="1"/>
    <col min="5639" max="5639" width="21" style="3" customWidth="1"/>
    <col min="5640" max="5640" width="3.625" style="3" customWidth="1"/>
    <col min="5641" max="5641" width="3.125" style="3" customWidth="1"/>
    <col min="5642" max="5642" width="5.125" style="3" customWidth="1"/>
    <col min="5643" max="5643" width="4.875" style="3" customWidth="1"/>
    <col min="5644" max="5644" width="5.25" style="3" customWidth="1"/>
    <col min="5645" max="5645" width="4.25" style="3" customWidth="1"/>
    <col min="5646" max="5646" width="5" style="3" customWidth="1"/>
    <col min="5647" max="5647" width="4.875" style="3" customWidth="1"/>
    <col min="5648" max="5648" width="5.75" style="3" customWidth="1"/>
    <col min="5649" max="5649" width="6" style="3" customWidth="1"/>
    <col min="5650" max="5650" width="7.75" style="3" customWidth="1"/>
    <col min="5651" max="5651" width="7.375" style="3" customWidth="1"/>
    <col min="5652" max="5652" width="8.75" style="3" customWidth="1"/>
    <col min="5653" max="5653" width="6.75" style="3" customWidth="1"/>
    <col min="5654" max="5654" width="9.5" style="3" customWidth="1"/>
    <col min="5655" max="5655" width="6.25" style="3" customWidth="1"/>
    <col min="5656" max="5656" width="6" style="3" customWidth="1"/>
    <col min="5657" max="5657" width="8.5" style="3" customWidth="1"/>
    <col min="5658" max="5658" width="8.75" style="3" customWidth="1"/>
    <col min="5659" max="5659" width="6.75" style="3" customWidth="1"/>
    <col min="5660" max="5660" width="9.75" style="3" customWidth="1"/>
    <col min="5661" max="5661" width="7.75" style="3" customWidth="1"/>
    <col min="5662" max="5662" width="7.625" style="3" customWidth="1"/>
    <col min="5663" max="5663" width="8.875" style="3" customWidth="1"/>
    <col min="5664" max="5664" width="9.75" style="3" customWidth="1"/>
    <col min="5665" max="5665" width="6.75" style="3" customWidth="1"/>
    <col min="5666" max="5670" width="9.75" style="3" customWidth="1"/>
    <col min="5671" max="5671" width="6.75" style="3" customWidth="1"/>
    <col min="5672" max="5672" width="11" style="3" customWidth="1"/>
    <col min="5673" max="5673" width="8.5" style="3" customWidth="1"/>
    <col min="5674" max="5889" width="9" style="3"/>
    <col min="5890" max="5890" width="4.375" style="3" customWidth="1"/>
    <col min="5891" max="5891" width="2.25" style="3" customWidth="1"/>
    <col min="5892" max="5894" width="2.375" style="3" customWidth="1"/>
    <col min="5895" max="5895" width="21" style="3" customWidth="1"/>
    <col min="5896" max="5896" width="3.625" style="3" customWidth="1"/>
    <col min="5897" max="5897" width="3.125" style="3" customWidth="1"/>
    <col min="5898" max="5898" width="5.125" style="3" customWidth="1"/>
    <col min="5899" max="5899" width="4.875" style="3" customWidth="1"/>
    <col min="5900" max="5900" width="5.25" style="3" customWidth="1"/>
    <col min="5901" max="5901" width="4.25" style="3" customWidth="1"/>
    <col min="5902" max="5902" width="5" style="3" customWidth="1"/>
    <col min="5903" max="5903" width="4.875" style="3" customWidth="1"/>
    <col min="5904" max="5904" width="5.75" style="3" customWidth="1"/>
    <col min="5905" max="5905" width="6" style="3" customWidth="1"/>
    <col min="5906" max="5906" width="7.75" style="3" customWidth="1"/>
    <col min="5907" max="5907" width="7.375" style="3" customWidth="1"/>
    <col min="5908" max="5908" width="8.75" style="3" customWidth="1"/>
    <col min="5909" max="5909" width="6.75" style="3" customWidth="1"/>
    <col min="5910" max="5910" width="9.5" style="3" customWidth="1"/>
    <col min="5911" max="5911" width="6.25" style="3" customWidth="1"/>
    <col min="5912" max="5912" width="6" style="3" customWidth="1"/>
    <col min="5913" max="5913" width="8.5" style="3" customWidth="1"/>
    <col min="5914" max="5914" width="8.75" style="3" customWidth="1"/>
    <col min="5915" max="5915" width="6.75" style="3" customWidth="1"/>
    <col min="5916" max="5916" width="9.75" style="3" customWidth="1"/>
    <col min="5917" max="5917" width="7.75" style="3" customWidth="1"/>
    <col min="5918" max="5918" width="7.625" style="3" customWidth="1"/>
    <col min="5919" max="5919" width="8.875" style="3" customWidth="1"/>
    <col min="5920" max="5920" width="9.75" style="3" customWidth="1"/>
    <col min="5921" max="5921" width="6.75" style="3" customWidth="1"/>
    <col min="5922" max="5926" width="9.75" style="3" customWidth="1"/>
    <col min="5927" max="5927" width="6.75" style="3" customWidth="1"/>
    <col min="5928" max="5928" width="11" style="3" customWidth="1"/>
    <col min="5929" max="5929" width="8.5" style="3" customWidth="1"/>
    <col min="5930" max="6145" width="9" style="3"/>
    <col min="6146" max="6146" width="4.375" style="3" customWidth="1"/>
    <col min="6147" max="6147" width="2.25" style="3" customWidth="1"/>
    <col min="6148" max="6150" width="2.375" style="3" customWidth="1"/>
    <col min="6151" max="6151" width="21" style="3" customWidth="1"/>
    <col min="6152" max="6152" width="3.625" style="3" customWidth="1"/>
    <col min="6153" max="6153" width="3.125" style="3" customWidth="1"/>
    <col min="6154" max="6154" width="5.125" style="3" customWidth="1"/>
    <col min="6155" max="6155" width="4.875" style="3" customWidth="1"/>
    <col min="6156" max="6156" width="5.25" style="3" customWidth="1"/>
    <col min="6157" max="6157" width="4.25" style="3" customWidth="1"/>
    <col min="6158" max="6158" width="5" style="3" customWidth="1"/>
    <col min="6159" max="6159" width="4.875" style="3" customWidth="1"/>
    <col min="6160" max="6160" width="5.75" style="3" customWidth="1"/>
    <col min="6161" max="6161" width="6" style="3" customWidth="1"/>
    <col min="6162" max="6162" width="7.75" style="3" customWidth="1"/>
    <col min="6163" max="6163" width="7.375" style="3" customWidth="1"/>
    <col min="6164" max="6164" width="8.75" style="3" customWidth="1"/>
    <col min="6165" max="6165" width="6.75" style="3" customWidth="1"/>
    <col min="6166" max="6166" width="9.5" style="3" customWidth="1"/>
    <col min="6167" max="6167" width="6.25" style="3" customWidth="1"/>
    <col min="6168" max="6168" width="6" style="3" customWidth="1"/>
    <col min="6169" max="6169" width="8.5" style="3" customWidth="1"/>
    <col min="6170" max="6170" width="8.75" style="3" customWidth="1"/>
    <col min="6171" max="6171" width="6.75" style="3" customWidth="1"/>
    <col min="6172" max="6172" width="9.75" style="3" customWidth="1"/>
    <col min="6173" max="6173" width="7.75" style="3" customWidth="1"/>
    <col min="6174" max="6174" width="7.625" style="3" customWidth="1"/>
    <col min="6175" max="6175" width="8.875" style="3" customWidth="1"/>
    <col min="6176" max="6176" width="9.75" style="3" customWidth="1"/>
    <col min="6177" max="6177" width="6.75" style="3" customWidth="1"/>
    <col min="6178" max="6182" width="9.75" style="3" customWidth="1"/>
    <col min="6183" max="6183" width="6.75" style="3" customWidth="1"/>
    <col min="6184" max="6184" width="11" style="3" customWidth="1"/>
    <col min="6185" max="6185" width="8.5" style="3" customWidth="1"/>
    <col min="6186" max="6401" width="9" style="3"/>
    <col min="6402" max="6402" width="4.375" style="3" customWidth="1"/>
    <col min="6403" max="6403" width="2.25" style="3" customWidth="1"/>
    <col min="6404" max="6406" width="2.375" style="3" customWidth="1"/>
    <col min="6407" max="6407" width="21" style="3" customWidth="1"/>
    <col min="6408" max="6408" width="3.625" style="3" customWidth="1"/>
    <col min="6409" max="6409" width="3.125" style="3" customWidth="1"/>
    <col min="6410" max="6410" width="5.125" style="3" customWidth="1"/>
    <col min="6411" max="6411" width="4.875" style="3" customWidth="1"/>
    <col min="6412" max="6412" width="5.25" style="3" customWidth="1"/>
    <col min="6413" max="6413" width="4.25" style="3" customWidth="1"/>
    <col min="6414" max="6414" width="5" style="3" customWidth="1"/>
    <col min="6415" max="6415" width="4.875" style="3" customWidth="1"/>
    <col min="6416" max="6416" width="5.75" style="3" customWidth="1"/>
    <col min="6417" max="6417" width="6" style="3" customWidth="1"/>
    <col min="6418" max="6418" width="7.75" style="3" customWidth="1"/>
    <col min="6419" max="6419" width="7.375" style="3" customWidth="1"/>
    <col min="6420" max="6420" width="8.75" style="3" customWidth="1"/>
    <col min="6421" max="6421" width="6.75" style="3" customWidth="1"/>
    <col min="6422" max="6422" width="9.5" style="3" customWidth="1"/>
    <col min="6423" max="6423" width="6.25" style="3" customWidth="1"/>
    <col min="6424" max="6424" width="6" style="3" customWidth="1"/>
    <col min="6425" max="6425" width="8.5" style="3" customWidth="1"/>
    <col min="6426" max="6426" width="8.75" style="3" customWidth="1"/>
    <col min="6427" max="6427" width="6.75" style="3" customWidth="1"/>
    <col min="6428" max="6428" width="9.75" style="3" customWidth="1"/>
    <col min="6429" max="6429" width="7.75" style="3" customWidth="1"/>
    <col min="6430" max="6430" width="7.625" style="3" customWidth="1"/>
    <col min="6431" max="6431" width="8.875" style="3" customWidth="1"/>
    <col min="6432" max="6432" width="9.75" style="3" customWidth="1"/>
    <col min="6433" max="6433" width="6.75" style="3" customWidth="1"/>
    <col min="6434" max="6438" width="9.75" style="3" customWidth="1"/>
    <col min="6439" max="6439" width="6.75" style="3" customWidth="1"/>
    <col min="6440" max="6440" width="11" style="3" customWidth="1"/>
    <col min="6441" max="6441" width="8.5" style="3" customWidth="1"/>
    <col min="6442" max="6657" width="9" style="3"/>
    <col min="6658" max="6658" width="4.375" style="3" customWidth="1"/>
    <col min="6659" max="6659" width="2.25" style="3" customWidth="1"/>
    <col min="6660" max="6662" width="2.375" style="3" customWidth="1"/>
    <col min="6663" max="6663" width="21" style="3" customWidth="1"/>
    <col min="6664" max="6664" width="3.625" style="3" customWidth="1"/>
    <col min="6665" max="6665" width="3.125" style="3" customWidth="1"/>
    <col min="6666" max="6666" width="5.125" style="3" customWidth="1"/>
    <col min="6667" max="6667" width="4.875" style="3" customWidth="1"/>
    <col min="6668" max="6668" width="5.25" style="3" customWidth="1"/>
    <col min="6669" max="6669" width="4.25" style="3" customWidth="1"/>
    <col min="6670" max="6670" width="5" style="3" customWidth="1"/>
    <col min="6671" max="6671" width="4.875" style="3" customWidth="1"/>
    <col min="6672" max="6672" width="5.75" style="3" customWidth="1"/>
    <col min="6673" max="6673" width="6" style="3" customWidth="1"/>
    <col min="6674" max="6674" width="7.75" style="3" customWidth="1"/>
    <col min="6675" max="6675" width="7.375" style="3" customWidth="1"/>
    <col min="6676" max="6676" width="8.75" style="3" customWidth="1"/>
    <col min="6677" max="6677" width="6.75" style="3" customWidth="1"/>
    <col min="6678" max="6678" width="9.5" style="3" customWidth="1"/>
    <col min="6679" max="6679" width="6.25" style="3" customWidth="1"/>
    <col min="6680" max="6680" width="6" style="3" customWidth="1"/>
    <col min="6681" max="6681" width="8.5" style="3" customWidth="1"/>
    <col min="6682" max="6682" width="8.75" style="3" customWidth="1"/>
    <col min="6683" max="6683" width="6.75" style="3" customWidth="1"/>
    <col min="6684" max="6684" width="9.75" style="3" customWidth="1"/>
    <col min="6685" max="6685" width="7.75" style="3" customWidth="1"/>
    <col min="6686" max="6686" width="7.625" style="3" customWidth="1"/>
    <col min="6687" max="6687" width="8.875" style="3" customWidth="1"/>
    <col min="6688" max="6688" width="9.75" style="3" customWidth="1"/>
    <col min="6689" max="6689" width="6.75" style="3" customWidth="1"/>
    <col min="6690" max="6694" width="9.75" style="3" customWidth="1"/>
    <col min="6695" max="6695" width="6.75" style="3" customWidth="1"/>
    <col min="6696" max="6696" width="11" style="3" customWidth="1"/>
    <col min="6697" max="6697" width="8.5" style="3" customWidth="1"/>
    <col min="6698" max="6913" width="9" style="3"/>
    <col min="6914" max="6914" width="4.375" style="3" customWidth="1"/>
    <col min="6915" max="6915" width="2.25" style="3" customWidth="1"/>
    <col min="6916" max="6918" width="2.375" style="3" customWidth="1"/>
    <col min="6919" max="6919" width="21" style="3" customWidth="1"/>
    <col min="6920" max="6920" width="3.625" style="3" customWidth="1"/>
    <col min="6921" max="6921" width="3.125" style="3" customWidth="1"/>
    <col min="6922" max="6922" width="5.125" style="3" customWidth="1"/>
    <col min="6923" max="6923" width="4.875" style="3" customWidth="1"/>
    <col min="6924" max="6924" width="5.25" style="3" customWidth="1"/>
    <col min="6925" max="6925" width="4.25" style="3" customWidth="1"/>
    <col min="6926" max="6926" width="5" style="3" customWidth="1"/>
    <col min="6927" max="6927" width="4.875" style="3" customWidth="1"/>
    <col min="6928" max="6928" width="5.75" style="3" customWidth="1"/>
    <col min="6929" max="6929" width="6" style="3" customWidth="1"/>
    <col min="6930" max="6930" width="7.75" style="3" customWidth="1"/>
    <col min="6931" max="6931" width="7.375" style="3" customWidth="1"/>
    <col min="6932" max="6932" width="8.75" style="3" customWidth="1"/>
    <col min="6933" max="6933" width="6.75" style="3" customWidth="1"/>
    <col min="6934" max="6934" width="9.5" style="3" customWidth="1"/>
    <col min="6935" max="6935" width="6.25" style="3" customWidth="1"/>
    <col min="6936" max="6936" width="6" style="3" customWidth="1"/>
    <col min="6937" max="6937" width="8.5" style="3" customWidth="1"/>
    <col min="6938" max="6938" width="8.75" style="3" customWidth="1"/>
    <col min="6939" max="6939" width="6.75" style="3" customWidth="1"/>
    <col min="6940" max="6940" width="9.75" style="3" customWidth="1"/>
    <col min="6941" max="6941" width="7.75" style="3" customWidth="1"/>
    <col min="6942" max="6942" width="7.625" style="3" customWidth="1"/>
    <col min="6943" max="6943" width="8.875" style="3" customWidth="1"/>
    <col min="6944" max="6944" width="9.75" style="3" customWidth="1"/>
    <col min="6945" max="6945" width="6.75" style="3" customWidth="1"/>
    <col min="6946" max="6950" width="9.75" style="3" customWidth="1"/>
    <col min="6951" max="6951" width="6.75" style="3" customWidth="1"/>
    <col min="6952" max="6952" width="11" style="3" customWidth="1"/>
    <col min="6953" max="6953" width="8.5" style="3" customWidth="1"/>
    <col min="6954" max="7169" width="9" style="3"/>
    <col min="7170" max="7170" width="4.375" style="3" customWidth="1"/>
    <col min="7171" max="7171" width="2.25" style="3" customWidth="1"/>
    <col min="7172" max="7174" width="2.375" style="3" customWidth="1"/>
    <col min="7175" max="7175" width="21" style="3" customWidth="1"/>
    <col min="7176" max="7176" width="3.625" style="3" customWidth="1"/>
    <col min="7177" max="7177" width="3.125" style="3" customWidth="1"/>
    <col min="7178" max="7178" width="5.125" style="3" customWidth="1"/>
    <col min="7179" max="7179" width="4.875" style="3" customWidth="1"/>
    <col min="7180" max="7180" width="5.25" style="3" customWidth="1"/>
    <col min="7181" max="7181" width="4.25" style="3" customWidth="1"/>
    <col min="7182" max="7182" width="5" style="3" customWidth="1"/>
    <col min="7183" max="7183" width="4.875" style="3" customWidth="1"/>
    <col min="7184" max="7184" width="5.75" style="3" customWidth="1"/>
    <col min="7185" max="7185" width="6" style="3" customWidth="1"/>
    <col min="7186" max="7186" width="7.75" style="3" customWidth="1"/>
    <col min="7187" max="7187" width="7.375" style="3" customWidth="1"/>
    <col min="7188" max="7188" width="8.75" style="3" customWidth="1"/>
    <col min="7189" max="7189" width="6.75" style="3" customWidth="1"/>
    <col min="7190" max="7190" width="9.5" style="3" customWidth="1"/>
    <col min="7191" max="7191" width="6.25" style="3" customWidth="1"/>
    <col min="7192" max="7192" width="6" style="3" customWidth="1"/>
    <col min="7193" max="7193" width="8.5" style="3" customWidth="1"/>
    <col min="7194" max="7194" width="8.75" style="3" customWidth="1"/>
    <col min="7195" max="7195" width="6.75" style="3" customWidth="1"/>
    <col min="7196" max="7196" width="9.75" style="3" customWidth="1"/>
    <col min="7197" max="7197" width="7.75" style="3" customWidth="1"/>
    <col min="7198" max="7198" width="7.625" style="3" customWidth="1"/>
    <col min="7199" max="7199" width="8.875" style="3" customWidth="1"/>
    <col min="7200" max="7200" width="9.75" style="3" customWidth="1"/>
    <col min="7201" max="7201" width="6.75" style="3" customWidth="1"/>
    <col min="7202" max="7206" width="9.75" style="3" customWidth="1"/>
    <col min="7207" max="7207" width="6.75" style="3" customWidth="1"/>
    <col min="7208" max="7208" width="11" style="3" customWidth="1"/>
    <col min="7209" max="7209" width="8.5" style="3" customWidth="1"/>
    <col min="7210" max="7425" width="9" style="3"/>
    <col min="7426" max="7426" width="4.375" style="3" customWidth="1"/>
    <col min="7427" max="7427" width="2.25" style="3" customWidth="1"/>
    <col min="7428" max="7430" width="2.375" style="3" customWidth="1"/>
    <col min="7431" max="7431" width="21" style="3" customWidth="1"/>
    <col min="7432" max="7432" width="3.625" style="3" customWidth="1"/>
    <col min="7433" max="7433" width="3.125" style="3" customWidth="1"/>
    <col min="7434" max="7434" width="5.125" style="3" customWidth="1"/>
    <col min="7435" max="7435" width="4.875" style="3" customWidth="1"/>
    <col min="7436" max="7436" width="5.25" style="3" customWidth="1"/>
    <col min="7437" max="7437" width="4.25" style="3" customWidth="1"/>
    <col min="7438" max="7438" width="5" style="3" customWidth="1"/>
    <col min="7439" max="7439" width="4.875" style="3" customWidth="1"/>
    <col min="7440" max="7440" width="5.75" style="3" customWidth="1"/>
    <col min="7441" max="7441" width="6" style="3" customWidth="1"/>
    <col min="7442" max="7442" width="7.75" style="3" customWidth="1"/>
    <col min="7443" max="7443" width="7.375" style="3" customWidth="1"/>
    <col min="7444" max="7444" width="8.75" style="3" customWidth="1"/>
    <col min="7445" max="7445" width="6.75" style="3" customWidth="1"/>
    <col min="7446" max="7446" width="9.5" style="3" customWidth="1"/>
    <col min="7447" max="7447" width="6.25" style="3" customWidth="1"/>
    <col min="7448" max="7448" width="6" style="3" customWidth="1"/>
    <col min="7449" max="7449" width="8.5" style="3" customWidth="1"/>
    <col min="7450" max="7450" width="8.75" style="3" customWidth="1"/>
    <col min="7451" max="7451" width="6.75" style="3" customWidth="1"/>
    <col min="7452" max="7452" width="9.75" style="3" customWidth="1"/>
    <col min="7453" max="7453" width="7.75" style="3" customWidth="1"/>
    <col min="7454" max="7454" width="7.625" style="3" customWidth="1"/>
    <col min="7455" max="7455" width="8.875" style="3" customWidth="1"/>
    <col min="7456" max="7456" width="9.75" style="3" customWidth="1"/>
    <col min="7457" max="7457" width="6.75" style="3" customWidth="1"/>
    <col min="7458" max="7462" width="9.75" style="3" customWidth="1"/>
    <col min="7463" max="7463" width="6.75" style="3" customWidth="1"/>
    <col min="7464" max="7464" width="11" style="3" customWidth="1"/>
    <col min="7465" max="7465" width="8.5" style="3" customWidth="1"/>
    <col min="7466" max="7681" width="9" style="3"/>
    <col min="7682" max="7682" width="4.375" style="3" customWidth="1"/>
    <col min="7683" max="7683" width="2.25" style="3" customWidth="1"/>
    <col min="7684" max="7686" width="2.375" style="3" customWidth="1"/>
    <col min="7687" max="7687" width="21" style="3" customWidth="1"/>
    <col min="7688" max="7688" width="3.625" style="3" customWidth="1"/>
    <col min="7689" max="7689" width="3.125" style="3" customWidth="1"/>
    <col min="7690" max="7690" width="5.125" style="3" customWidth="1"/>
    <col min="7691" max="7691" width="4.875" style="3" customWidth="1"/>
    <col min="7692" max="7692" width="5.25" style="3" customWidth="1"/>
    <col min="7693" max="7693" width="4.25" style="3" customWidth="1"/>
    <col min="7694" max="7694" width="5" style="3" customWidth="1"/>
    <col min="7695" max="7695" width="4.875" style="3" customWidth="1"/>
    <col min="7696" max="7696" width="5.75" style="3" customWidth="1"/>
    <col min="7697" max="7697" width="6" style="3" customWidth="1"/>
    <col min="7698" max="7698" width="7.75" style="3" customWidth="1"/>
    <col min="7699" max="7699" width="7.375" style="3" customWidth="1"/>
    <col min="7700" max="7700" width="8.75" style="3" customWidth="1"/>
    <col min="7701" max="7701" width="6.75" style="3" customWidth="1"/>
    <col min="7702" max="7702" width="9.5" style="3" customWidth="1"/>
    <col min="7703" max="7703" width="6.25" style="3" customWidth="1"/>
    <col min="7704" max="7704" width="6" style="3" customWidth="1"/>
    <col min="7705" max="7705" width="8.5" style="3" customWidth="1"/>
    <col min="7706" max="7706" width="8.75" style="3" customWidth="1"/>
    <col min="7707" max="7707" width="6.75" style="3" customWidth="1"/>
    <col min="7708" max="7708" width="9.75" style="3" customWidth="1"/>
    <col min="7709" max="7709" width="7.75" style="3" customWidth="1"/>
    <col min="7710" max="7710" width="7.625" style="3" customWidth="1"/>
    <col min="7711" max="7711" width="8.875" style="3" customWidth="1"/>
    <col min="7712" max="7712" width="9.75" style="3" customWidth="1"/>
    <col min="7713" max="7713" width="6.75" style="3" customWidth="1"/>
    <col min="7714" max="7718" width="9.75" style="3" customWidth="1"/>
    <col min="7719" max="7719" width="6.75" style="3" customWidth="1"/>
    <col min="7720" max="7720" width="11" style="3" customWidth="1"/>
    <col min="7721" max="7721" width="8.5" style="3" customWidth="1"/>
    <col min="7722" max="7937" width="9" style="3"/>
    <col min="7938" max="7938" width="4.375" style="3" customWidth="1"/>
    <col min="7939" max="7939" width="2.25" style="3" customWidth="1"/>
    <col min="7940" max="7942" width="2.375" style="3" customWidth="1"/>
    <col min="7943" max="7943" width="21" style="3" customWidth="1"/>
    <col min="7944" max="7944" width="3.625" style="3" customWidth="1"/>
    <col min="7945" max="7945" width="3.125" style="3" customWidth="1"/>
    <col min="7946" max="7946" width="5.125" style="3" customWidth="1"/>
    <col min="7947" max="7947" width="4.875" style="3" customWidth="1"/>
    <col min="7948" max="7948" width="5.25" style="3" customWidth="1"/>
    <col min="7949" max="7949" width="4.25" style="3" customWidth="1"/>
    <col min="7950" max="7950" width="5" style="3" customWidth="1"/>
    <col min="7951" max="7951" width="4.875" style="3" customWidth="1"/>
    <col min="7952" max="7952" width="5.75" style="3" customWidth="1"/>
    <col min="7953" max="7953" width="6" style="3" customWidth="1"/>
    <col min="7954" max="7954" width="7.75" style="3" customWidth="1"/>
    <col min="7955" max="7955" width="7.375" style="3" customWidth="1"/>
    <col min="7956" max="7956" width="8.75" style="3" customWidth="1"/>
    <col min="7957" max="7957" width="6.75" style="3" customWidth="1"/>
    <col min="7958" max="7958" width="9.5" style="3" customWidth="1"/>
    <col min="7959" max="7959" width="6.25" style="3" customWidth="1"/>
    <col min="7960" max="7960" width="6" style="3" customWidth="1"/>
    <col min="7961" max="7961" width="8.5" style="3" customWidth="1"/>
    <col min="7962" max="7962" width="8.75" style="3" customWidth="1"/>
    <col min="7963" max="7963" width="6.75" style="3" customWidth="1"/>
    <col min="7964" max="7964" width="9.75" style="3" customWidth="1"/>
    <col min="7965" max="7965" width="7.75" style="3" customWidth="1"/>
    <col min="7966" max="7966" width="7.625" style="3" customWidth="1"/>
    <col min="7967" max="7967" width="8.875" style="3" customWidth="1"/>
    <col min="7968" max="7968" width="9.75" style="3" customWidth="1"/>
    <col min="7969" max="7969" width="6.75" style="3" customWidth="1"/>
    <col min="7970" max="7974" width="9.75" style="3" customWidth="1"/>
    <col min="7975" max="7975" width="6.75" style="3" customWidth="1"/>
    <col min="7976" max="7976" width="11" style="3" customWidth="1"/>
    <col min="7977" max="7977" width="8.5" style="3" customWidth="1"/>
    <col min="7978" max="8193" width="9" style="3"/>
    <col min="8194" max="8194" width="4.375" style="3" customWidth="1"/>
    <col min="8195" max="8195" width="2.25" style="3" customWidth="1"/>
    <col min="8196" max="8198" width="2.375" style="3" customWidth="1"/>
    <col min="8199" max="8199" width="21" style="3" customWidth="1"/>
    <col min="8200" max="8200" width="3.625" style="3" customWidth="1"/>
    <col min="8201" max="8201" width="3.125" style="3" customWidth="1"/>
    <col min="8202" max="8202" width="5.125" style="3" customWidth="1"/>
    <col min="8203" max="8203" width="4.875" style="3" customWidth="1"/>
    <col min="8204" max="8204" width="5.25" style="3" customWidth="1"/>
    <col min="8205" max="8205" width="4.25" style="3" customWidth="1"/>
    <col min="8206" max="8206" width="5" style="3" customWidth="1"/>
    <col min="8207" max="8207" width="4.875" style="3" customWidth="1"/>
    <col min="8208" max="8208" width="5.75" style="3" customWidth="1"/>
    <col min="8209" max="8209" width="6" style="3" customWidth="1"/>
    <col min="8210" max="8210" width="7.75" style="3" customWidth="1"/>
    <col min="8211" max="8211" width="7.375" style="3" customWidth="1"/>
    <col min="8212" max="8212" width="8.75" style="3" customWidth="1"/>
    <col min="8213" max="8213" width="6.75" style="3" customWidth="1"/>
    <col min="8214" max="8214" width="9.5" style="3" customWidth="1"/>
    <col min="8215" max="8215" width="6.25" style="3" customWidth="1"/>
    <col min="8216" max="8216" width="6" style="3" customWidth="1"/>
    <col min="8217" max="8217" width="8.5" style="3" customWidth="1"/>
    <col min="8218" max="8218" width="8.75" style="3" customWidth="1"/>
    <col min="8219" max="8219" width="6.75" style="3" customWidth="1"/>
    <col min="8220" max="8220" width="9.75" style="3" customWidth="1"/>
    <col min="8221" max="8221" width="7.75" style="3" customWidth="1"/>
    <col min="8222" max="8222" width="7.625" style="3" customWidth="1"/>
    <col min="8223" max="8223" width="8.875" style="3" customWidth="1"/>
    <col min="8224" max="8224" width="9.75" style="3" customWidth="1"/>
    <col min="8225" max="8225" width="6.75" style="3" customWidth="1"/>
    <col min="8226" max="8230" width="9.75" style="3" customWidth="1"/>
    <col min="8231" max="8231" width="6.75" style="3" customWidth="1"/>
    <col min="8232" max="8232" width="11" style="3" customWidth="1"/>
    <col min="8233" max="8233" width="8.5" style="3" customWidth="1"/>
    <col min="8234" max="8449" width="9" style="3"/>
    <col min="8450" max="8450" width="4.375" style="3" customWidth="1"/>
    <col min="8451" max="8451" width="2.25" style="3" customWidth="1"/>
    <col min="8452" max="8454" width="2.375" style="3" customWidth="1"/>
    <col min="8455" max="8455" width="21" style="3" customWidth="1"/>
    <col min="8456" max="8456" width="3.625" style="3" customWidth="1"/>
    <col min="8457" max="8457" width="3.125" style="3" customWidth="1"/>
    <col min="8458" max="8458" width="5.125" style="3" customWidth="1"/>
    <col min="8459" max="8459" width="4.875" style="3" customWidth="1"/>
    <col min="8460" max="8460" width="5.25" style="3" customWidth="1"/>
    <col min="8461" max="8461" width="4.25" style="3" customWidth="1"/>
    <col min="8462" max="8462" width="5" style="3" customWidth="1"/>
    <col min="8463" max="8463" width="4.875" style="3" customWidth="1"/>
    <col min="8464" max="8464" width="5.75" style="3" customWidth="1"/>
    <col min="8465" max="8465" width="6" style="3" customWidth="1"/>
    <col min="8466" max="8466" width="7.75" style="3" customWidth="1"/>
    <col min="8467" max="8467" width="7.375" style="3" customWidth="1"/>
    <col min="8468" max="8468" width="8.75" style="3" customWidth="1"/>
    <col min="8469" max="8469" width="6.75" style="3" customWidth="1"/>
    <col min="8470" max="8470" width="9.5" style="3" customWidth="1"/>
    <col min="8471" max="8471" width="6.25" style="3" customWidth="1"/>
    <col min="8472" max="8472" width="6" style="3" customWidth="1"/>
    <col min="8473" max="8473" width="8.5" style="3" customWidth="1"/>
    <col min="8474" max="8474" width="8.75" style="3" customWidth="1"/>
    <col min="8475" max="8475" width="6.75" style="3" customWidth="1"/>
    <col min="8476" max="8476" width="9.75" style="3" customWidth="1"/>
    <col min="8477" max="8477" width="7.75" style="3" customWidth="1"/>
    <col min="8478" max="8478" width="7.625" style="3" customWidth="1"/>
    <col min="8479" max="8479" width="8.875" style="3" customWidth="1"/>
    <col min="8480" max="8480" width="9.75" style="3" customWidth="1"/>
    <col min="8481" max="8481" width="6.75" style="3" customWidth="1"/>
    <col min="8482" max="8486" width="9.75" style="3" customWidth="1"/>
    <col min="8487" max="8487" width="6.75" style="3" customWidth="1"/>
    <col min="8488" max="8488" width="11" style="3" customWidth="1"/>
    <col min="8489" max="8489" width="8.5" style="3" customWidth="1"/>
    <col min="8490" max="8705" width="9" style="3"/>
    <col min="8706" max="8706" width="4.375" style="3" customWidth="1"/>
    <col min="8707" max="8707" width="2.25" style="3" customWidth="1"/>
    <col min="8708" max="8710" width="2.375" style="3" customWidth="1"/>
    <col min="8711" max="8711" width="21" style="3" customWidth="1"/>
    <col min="8712" max="8712" width="3.625" style="3" customWidth="1"/>
    <col min="8713" max="8713" width="3.125" style="3" customWidth="1"/>
    <col min="8714" max="8714" width="5.125" style="3" customWidth="1"/>
    <col min="8715" max="8715" width="4.875" style="3" customWidth="1"/>
    <col min="8716" max="8716" width="5.25" style="3" customWidth="1"/>
    <col min="8717" max="8717" width="4.25" style="3" customWidth="1"/>
    <col min="8718" max="8718" width="5" style="3" customWidth="1"/>
    <col min="8719" max="8719" width="4.875" style="3" customWidth="1"/>
    <col min="8720" max="8720" width="5.75" style="3" customWidth="1"/>
    <col min="8721" max="8721" width="6" style="3" customWidth="1"/>
    <col min="8722" max="8722" width="7.75" style="3" customWidth="1"/>
    <col min="8723" max="8723" width="7.375" style="3" customWidth="1"/>
    <col min="8724" max="8724" width="8.75" style="3" customWidth="1"/>
    <col min="8725" max="8725" width="6.75" style="3" customWidth="1"/>
    <col min="8726" max="8726" width="9.5" style="3" customWidth="1"/>
    <col min="8727" max="8727" width="6.25" style="3" customWidth="1"/>
    <col min="8728" max="8728" width="6" style="3" customWidth="1"/>
    <col min="8729" max="8729" width="8.5" style="3" customWidth="1"/>
    <col min="8730" max="8730" width="8.75" style="3" customWidth="1"/>
    <col min="8731" max="8731" width="6.75" style="3" customWidth="1"/>
    <col min="8732" max="8732" width="9.75" style="3" customWidth="1"/>
    <col min="8733" max="8733" width="7.75" style="3" customWidth="1"/>
    <col min="8734" max="8734" width="7.625" style="3" customWidth="1"/>
    <col min="8735" max="8735" width="8.875" style="3" customWidth="1"/>
    <col min="8736" max="8736" width="9.75" style="3" customWidth="1"/>
    <col min="8737" max="8737" width="6.75" style="3" customWidth="1"/>
    <col min="8738" max="8742" width="9.75" style="3" customWidth="1"/>
    <col min="8743" max="8743" width="6.75" style="3" customWidth="1"/>
    <col min="8744" max="8744" width="11" style="3" customWidth="1"/>
    <col min="8745" max="8745" width="8.5" style="3" customWidth="1"/>
    <col min="8746" max="8961" width="9" style="3"/>
    <col min="8962" max="8962" width="4.375" style="3" customWidth="1"/>
    <col min="8963" max="8963" width="2.25" style="3" customWidth="1"/>
    <col min="8964" max="8966" width="2.375" style="3" customWidth="1"/>
    <col min="8967" max="8967" width="21" style="3" customWidth="1"/>
    <col min="8968" max="8968" width="3.625" style="3" customWidth="1"/>
    <col min="8969" max="8969" width="3.125" style="3" customWidth="1"/>
    <col min="8970" max="8970" width="5.125" style="3" customWidth="1"/>
    <col min="8971" max="8971" width="4.875" style="3" customWidth="1"/>
    <col min="8972" max="8972" width="5.25" style="3" customWidth="1"/>
    <col min="8973" max="8973" width="4.25" style="3" customWidth="1"/>
    <col min="8974" max="8974" width="5" style="3" customWidth="1"/>
    <col min="8975" max="8975" width="4.875" style="3" customWidth="1"/>
    <col min="8976" max="8976" width="5.75" style="3" customWidth="1"/>
    <col min="8977" max="8977" width="6" style="3" customWidth="1"/>
    <col min="8978" max="8978" width="7.75" style="3" customWidth="1"/>
    <col min="8979" max="8979" width="7.375" style="3" customWidth="1"/>
    <col min="8980" max="8980" width="8.75" style="3" customWidth="1"/>
    <col min="8981" max="8981" width="6.75" style="3" customWidth="1"/>
    <col min="8982" max="8982" width="9.5" style="3" customWidth="1"/>
    <col min="8983" max="8983" width="6.25" style="3" customWidth="1"/>
    <col min="8984" max="8984" width="6" style="3" customWidth="1"/>
    <col min="8985" max="8985" width="8.5" style="3" customWidth="1"/>
    <col min="8986" max="8986" width="8.75" style="3" customWidth="1"/>
    <col min="8987" max="8987" width="6.75" style="3" customWidth="1"/>
    <col min="8988" max="8988" width="9.75" style="3" customWidth="1"/>
    <col min="8989" max="8989" width="7.75" style="3" customWidth="1"/>
    <col min="8990" max="8990" width="7.625" style="3" customWidth="1"/>
    <col min="8991" max="8991" width="8.875" style="3" customWidth="1"/>
    <col min="8992" max="8992" width="9.75" style="3" customWidth="1"/>
    <col min="8993" max="8993" width="6.75" style="3" customWidth="1"/>
    <col min="8994" max="8998" width="9.75" style="3" customWidth="1"/>
    <col min="8999" max="8999" width="6.75" style="3" customWidth="1"/>
    <col min="9000" max="9000" width="11" style="3" customWidth="1"/>
    <col min="9001" max="9001" width="8.5" style="3" customWidth="1"/>
    <col min="9002" max="9217" width="9" style="3"/>
    <col min="9218" max="9218" width="4.375" style="3" customWidth="1"/>
    <col min="9219" max="9219" width="2.25" style="3" customWidth="1"/>
    <col min="9220" max="9222" width="2.375" style="3" customWidth="1"/>
    <col min="9223" max="9223" width="21" style="3" customWidth="1"/>
    <col min="9224" max="9224" width="3.625" style="3" customWidth="1"/>
    <col min="9225" max="9225" width="3.125" style="3" customWidth="1"/>
    <col min="9226" max="9226" width="5.125" style="3" customWidth="1"/>
    <col min="9227" max="9227" width="4.875" style="3" customWidth="1"/>
    <col min="9228" max="9228" width="5.25" style="3" customWidth="1"/>
    <col min="9229" max="9229" width="4.25" style="3" customWidth="1"/>
    <col min="9230" max="9230" width="5" style="3" customWidth="1"/>
    <col min="9231" max="9231" width="4.875" style="3" customWidth="1"/>
    <col min="9232" max="9232" width="5.75" style="3" customWidth="1"/>
    <col min="9233" max="9233" width="6" style="3" customWidth="1"/>
    <col min="9234" max="9234" width="7.75" style="3" customWidth="1"/>
    <col min="9235" max="9235" width="7.375" style="3" customWidth="1"/>
    <col min="9236" max="9236" width="8.75" style="3" customWidth="1"/>
    <col min="9237" max="9237" width="6.75" style="3" customWidth="1"/>
    <col min="9238" max="9238" width="9.5" style="3" customWidth="1"/>
    <col min="9239" max="9239" width="6.25" style="3" customWidth="1"/>
    <col min="9240" max="9240" width="6" style="3" customWidth="1"/>
    <col min="9241" max="9241" width="8.5" style="3" customWidth="1"/>
    <col min="9242" max="9242" width="8.75" style="3" customWidth="1"/>
    <col min="9243" max="9243" width="6.75" style="3" customWidth="1"/>
    <col min="9244" max="9244" width="9.75" style="3" customWidth="1"/>
    <col min="9245" max="9245" width="7.75" style="3" customWidth="1"/>
    <col min="9246" max="9246" width="7.625" style="3" customWidth="1"/>
    <col min="9247" max="9247" width="8.875" style="3" customWidth="1"/>
    <col min="9248" max="9248" width="9.75" style="3" customWidth="1"/>
    <col min="9249" max="9249" width="6.75" style="3" customWidth="1"/>
    <col min="9250" max="9254" width="9.75" style="3" customWidth="1"/>
    <col min="9255" max="9255" width="6.75" style="3" customWidth="1"/>
    <col min="9256" max="9256" width="11" style="3" customWidth="1"/>
    <col min="9257" max="9257" width="8.5" style="3" customWidth="1"/>
    <col min="9258" max="9473" width="9" style="3"/>
    <col min="9474" max="9474" width="4.375" style="3" customWidth="1"/>
    <col min="9475" max="9475" width="2.25" style="3" customWidth="1"/>
    <col min="9476" max="9478" width="2.375" style="3" customWidth="1"/>
    <col min="9479" max="9479" width="21" style="3" customWidth="1"/>
    <col min="9480" max="9480" width="3.625" style="3" customWidth="1"/>
    <col min="9481" max="9481" width="3.125" style="3" customWidth="1"/>
    <col min="9482" max="9482" width="5.125" style="3" customWidth="1"/>
    <col min="9483" max="9483" width="4.875" style="3" customWidth="1"/>
    <col min="9484" max="9484" width="5.25" style="3" customWidth="1"/>
    <col min="9485" max="9485" width="4.25" style="3" customWidth="1"/>
    <col min="9486" max="9486" width="5" style="3" customWidth="1"/>
    <col min="9487" max="9487" width="4.875" style="3" customWidth="1"/>
    <col min="9488" max="9488" width="5.75" style="3" customWidth="1"/>
    <col min="9489" max="9489" width="6" style="3" customWidth="1"/>
    <col min="9490" max="9490" width="7.75" style="3" customWidth="1"/>
    <col min="9491" max="9491" width="7.375" style="3" customWidth="1"/>
    <col min="9492" max="9492" width="8.75" style="3" customWidth="1"/>
    <col min="9493" max="9493" width="6.75" style="3" customWidth="1"/>
    <col min="9494" max="9494" width="9.5" style="3" customWidth="1"/>
    <col min="9495" max="9495" width="6.25" style="3" customWidth="1"/>
    <col min="9496" max="9496" width="6" style="3" customWidth="1"/>
    <col min="9497" max="9497" width="8.5" style="3" customWidth="1"/>
    <col min="9498" max="9498" width="8.75" style="3" customWidth="1"/>
    <col min="9499" max="9499" width="6.75" style="3" customWidth="1"/>
    <col min="9500" max="9500" width="9.75" style="3" customWidth="1"/>
    <col min="9501" max="9501" width="7.75" style="3" customWidth="1"/>
    <col min="9502" max="9502" width="7.625" style="3" customWidth="1"/>
    <col min="9503" max="9503" width="8.875" style="3" customWidth="1"/>
    <col min="9504" max="9504" width="9.75" style="3" customWidth="1"/>
    <col min="9505" max="9505" width="6.75" style="3" customWidth="1"/>
    <col min="9506" max="9510" width="9.75" style="3" customWidth="1"/>
    <col min="9511" max="9511" width="6.75" style="3" customWidth="1"/>
    <col min="9512" max="9512" width="11" style="3" customWidth="1"/>
    <col min="9513" max="9513" width="8.5" style="3" customWidth="1"/>
    <col min="9514" max="9729" width="9" style="3"/>
    <col min="9730" max="9730" width="4.375" style="3" customWidth="1"/>
    <col min="9731" max="9731" width="2.25" style="3" customWidth="1"/>
    <col min="9732" max="9734" width="2.375" style="3" customWidth="1"/>
    <col min="9735" max="9735" width="21" style="3" customWidth="1"/>
    <col min="9736" max="9736" width="3.625" style="3" customWidth="1"/>
    <col min="9737" max="9737" width="3.125" style="3" customWidth="1"/>
    <col min="9738" max="9738" width="5.125" style="3" customWidth="1"/>
    <col min="9739" max="9739" width="4.875" style="3" customWidth="1"/>
    <col min="9740" max="9740" width="5.25" style="3" customWidth="1"/>
    <col min="9741" max="9741" width="4.25" style="3" customWidth="1"/>
    <col min="9742" max="9742" width="5" style="3" customWidth="1"/>
    <col min="9743" max="9743" width="4.875" style="3" customWidth="1"/>
    <col min="9744" max="9744" width="5.75" style="3" customWidth="1"/>
    <col min="9745" max="9745" width="6" style="3" customWidth="1"/>
    <col min="9746" max="9746" width="7.75" style="3" customWidth="1"/>
    <col min="9747" max="9747" width="7.375" style="3" customWidth="1"/>
    <col min="9748" max="9748" width="8.75" style="3" customWidth="1"/>
    <col min="9749" max="9749" width="6.75" style="3" customWidth="1"/>
    <col min="9750" max="9750" width="9.5" style="3" customWidth="1"/>
    <col min="9751" max="9751" width="6.25" style="3" customWidth="1"/>
    <col min="9752" max="9752" width="6" style="3" customWidth="1"/>
    <col min="9753" max="9753" width="8.5" style="3" customWidth="1"/>
    <col min="9754" max="9754" width="8.75" style="3" customWidth="1"/>
    <col min="9755" max="9755" width="6.75" style="3" customWidth="1"/>
    <col min="9756" max="9756" width="9.75" style="3" customWidth="1"/>
    <col min="9757" max="9757" width="7.75" style="3" customWidth="1"/>
    <col min="9758" max="9758" width="7.625" style="3" customWidth="1"/>
    <col min="9759" max="9759" width="8.875" style="3" customWidth="1"/>
    <col min="9760" max="9760" width="9.75" style="3" customWidth="1"/>
    <col min="9761" max="9761" width="6.75" style="3" customWidth="1"/>
    <col min="9762" max="9766" width="9.75" style="3" customWidth="1"/>
    <col min="9767" max="9767" width="6.75" style="3" customWidth="1"/>
    <col min="9768" max="9768" width="11" style="3" customWidth="1"/>
    <col min="9769" max="9769" width="8.5" style="3" customWidth="1"/>
    <col min="9770" max="9985" width="9" style="3"/>
    <col min="9986" max="9986" width="4.375" style="3" customWidth="1"/>
    <col min="9987" max="9987" width="2.25" style="3" customWidth="1"/>
    <col min="9988" max="9990" width="2.375" style="3" customWidth="1"/>
    <col min="9991" max="9991" width="21" style="3" customWidth="1"/>
    <col min="9992" max="9992" width="3.625" style="3" customWidth="1"/>
    <col min="9993" max="9993" width="3.125" style="3" customWidth="1"/>
    <col min="9994" max="9994" width="5.125" style="3" customWidth="1"/>
    <col min="9995" max="9995" width="4.875" style="3" customWidth="1"/>
    <col min="9996" max="9996" width="5.25" style="3" customWidth="1"/>
    <col min="9997" max="9997" width="4.25" style="3" customWidth="1"/>
    <col min="9998" max="9998" width="5" style="3" customWidth="1"/>
    <col min="9999" max="9999" width="4.875" style="3" customWidth="1"/>
    <col min="10000" max="10000" width="5.75" style="3" customWidth="1"/>
    <col min="10001" max="10001" width="6" style="3" customWidth="1"/>
    <col min="10002" max="10002" width="7.75" style="3" customWidth="1"/>
    <col min="10003" max="10003" width="7.375" style="3" customWidth="1"/>
    <col min="10004" max="10004" width="8.75" style="3" customWidth="1"/>
    <col min="10005" max="10005" width="6.75" style="3" customWidth="1"/>
    <col min="10006" max="10006" width="9.5" style="3" customWidth="1"/>
    <col min="10007" max="10007" width="6.25" style="3" customWidth="1"/>
    <col min="10008" max="10008" width="6" style="3" customWidth="1"/>
    <col min="10009" max="10009" width="8.5" style="3" customWidth="1"/>
    <col min="10010" max="10010" width="8.75" style="3" customWidth="1"/>
    <col min="10011" max="10011" width="6.75" style="3" customWidth="1"/>
    <col min="10012" max="10012" width="9.75" style="3" customWidth="1"/>
    <col min="10013" max="10013" width="7.75" style="3" customWidth="1"/>
    <col min="10014" max="10014" width="7.625" style="3" customWidth="1"/>
    <col min="10015" max="10015" width="8.875" style="3" customWidth="1"/>
    <col min="10016" max="10016" width="9.75" style="3" customWidth="1"/>
    <col min="10017" max="10017" width="6.75" style="3" customWidth="1"/>
    <col min="10018" max="10022" width="9.75" style="3" customWidth="1"/>
    <col min="10023" max="10023" width="6.75" style="3" customWidth="1"/>
    <col min="10024" max="10024" width="11" style="3" customWidth="1"/>
    <col min="10025" max="10025" width="8.5" style="3" customWidth="1"/>
    <col min="10026" max="10241" width="9" style="3"/>
    <col min="10242" max="10242" width="4.375" style="3" customWidth="1"/>
    <col min="10243" max="10243" width="2.25" style="3" customWidth="1"/>
    <col min="10244" max="10246" width="2.375" style="3" customWidth="1"/>
    <col min="10247" max="10247" width="21" style="3" customWidth="1"/>
    <col min="10248" max="10248" width="3.625" style="3" customWidth="1"/>
    <col min="10249" max="10249" width="3.125" style="3" customWidth="1"/>
    <col min="10250" max="10250" width="5.125" style="3" customWidth="1"/>
    <col min="10251" max="10251" width="4.875" style="3" customWidth="1"/>
    <col min="10252" max="10252" width="5.25" style="3" customWidth="1"/>
    <col min="10253" max="10253" width="4.25" style="3" customWidth="1"/>
    <col min="10254" max="10254" width="5" style="3" customWidth="1"/>
    <col min="10255" max="10255" width="4.875" style="3" customWidth="1"/>
    <col min="10256" max="10256" width="5.75" style="3" customWidth="1"/>
    <col min="10257" max="10257" width="6" style="3" customWidth="1"/>
    <col min="10258" max="10258" width="7.75" style="3" customWidth="1"/>
    <col min="10259" max="10259" width="7.375" style="3" customWidth="1"/>
    <col min="10260" max="10260" width="8.75" style="3" customWidth="1"/>
    <col min="10261" max="10261" width="6.75" style="3" customWidth="1"/>
    <col min="10262" max="10262" width="9.5" style="3" customWidth="1"/>
    <col min="10263" max="10263" width="6.25" style="3" customWidth="1"/>
    <col min="10264" max="10264" width="6" style="3" customWidth="1"/>
    <col min="10265" max="10265" width="8.5" style="3" customWidth="1"/>
    <col min="10266" max="10266" width="8.75" style="3" customWidth="1"/>
    <col min="10267" max="10267" width="6.75" style="3" customWidth="1"/>
    <col min="10268" max="10268" width="9.75" style="3" customWidth="1"/>
    <col min="10269" max="10269" width="7.75" style="3" customWidth="1"/>
    <col min="10270" max="10270" width="7.625" style="3" customWidth="1"/>
    <col min="10271" max="10271" width="8.875" style="3" customWidth="1"/>
    <col min="10272" max="10272" width="9.75" style="3" customWidth="1"/>
    <col min="10273" max="10273" width="6.75" style="3" customWidth="1"/>
    <col min="10274" max="10278" width="9.75" style="3" customWidth="1"/>
    <col min="10279" max="10279" width="6.75" style="3" customWidth="1"/>
    <col min="10280" max="10280" width="11" style="3" customWidth="1"/>
    <col min="10281" max="10281" width="8.5" style="3" customWidth="1"/>
    <col min="10282" max="10497" width="9" style="3"/>
    <col min="10498" max="10498" width="4.375" style="3" customWidth="1"/>
    <col min="10499" max="10499" width="2.25" style="3" customWidth="1"/>
    <col min="10500" max="10502" width="2.375" style="3" customWidth="1"/>
    <col min="10503" max="10503" width="21" style="3" customWidth="1"/>
    <col min="10504" max="10504" width="3.625" style="3" customWidth="1"/>
    <col min="10505" max="10505" width="3.125" style="3" customWidth="1"/>
    <col min="10506" max="10506" width="5.125" style="3" customWidth="1"/>
    <col min="10507" max="10507" width="4.875" style="3" customWidth="1"/>
    <col min="10508" max="10508" width="5.25" style="3" customWidth="1"/>
    <col min="10509" max="10509" width="4.25" style="3" customWidth="1"/>
    <col min="10510" max="10510" width="5" style="3" customWidth="1"/>
    <col min="10511" max="10511" width="4.875" style="3" customWidth="1"/>
    <col min="10512" max="10512" width="5.75" style="3" customWidth="1"/>
    <col min="10513" max="10513" width="6" style="3" customWidth="1"/>
    <col min="10514" max="10514" width="7.75" style="3" customWidth="1"/>
    <col min="10515" max="10515" width="7.375" style="3" customWidth="1"/>
    <col min="10516" max="10516" width="8.75" style="3" customWidth="1"/>
    <col min="10517" max="10517" width="6.75" style="3" customWidth="1"/>
    <col min="10518" max="10518" width="9.5" style="3" customWidth="1"/>
    <col min="10519" max="10519" width="6.25" style="3" customWidth="1"/>
    <col min="10520" max="10520" width="6" style="3" customWidth="1"/>
    <col min="10521" max="10521" width="8.5" style="3" customWidth="1"/>
    <col min="10522" max="10522" width="8.75" style="3" customWidth="1"/>
    <col min="10523" max="10523" width="6.75" style="3" customWidth="1"/>
    <col min="10524" max="10524" width="9.75" style="3" customWidth="1"/>
    <col min="10525" max="10525" width="7.75" style="3" customWidth="1"/>
    <col min="10526" max="10526" width="7.625" style="3" customWidth="1"/>
    <col min="10527" max="10527" width="8.875" style="3" customWidth="1"/>
    <col min="10528" max="10528" width="9.75" style="3" customWidth="1"/>
    <col min="10529" max="10529" width="6.75" style="3" customWidth="1"/>
    <col min="10530" max="10534" width="9.75" style="3" customWidth="1"/>
    <col min="10535" max="10535" width="6.75" style="3" customWidth="1"/>
    <col min="10536" max="10536" width="11" style="3" customWidth="1"/>
    <col min="10537" max="10537" width="8.5" style="3" customWidth="1"/>
    <col min="10538" max="10753" width="9" style="3"/>
    <col min="10754" max="10754" width="4.375" style="3" customWidth="1"/>
    <col min="10755" max="10755" width="2.25" style="3" customWidth="1"/>
    <col min="10756" max="10758" width="2.375" style="3" customWidth="1"/>
    <col min="10759" max="10759" width="21" style="3" customWidth="1"/>
    <col min="10760" max="10760" width="3.625" style="3" customWidth="1"/>
    <col min="10761" max="10761" width="3.125" style="3" customWidth="1"/>
    <col min="10762" max="10762" width="5.125" style="3" customWidth="1"/>
    <col min="10763" max="10763" width="4.875" style="3" customWidth="1"/>
    <col min="10764" max="10764" width="5.25" style="3" customWidth="1"/>
    <col min="10765" max="10765" width="4.25" style="3" customWidth="1"/>
    <col min="10766" max="10766" width="5" style="3" customWidth="1"/>
    <col min="10767" max="10767" width="4.875" style="3" customWidth="1"/>
    <col min="10768" max="10768" width="5.75" style="3" customWidth="1"/>
    <col min="10769" max="10769" width="6" style="3" customWidth="1"/>
    <col min="10770" max="10770" width="7.75" style="3" customWidth="1"/>
    <col min="10771" max="10771" width="7.375" style="3" customWidth="1"/>
    <col min="10772" max="10772" width="8.75" style="3" customWidth="1"/>
    <col min="10773" max="10773" width="6.75" style="3" customWidth="1"/>
    <col min="10774" max="10774" width="9.5" style="3" customWidth="1"/>
    <col min="10775" max="10775" width="6.25" style="3" customWidth="1"/>
    <col min="10776" max="10776" width="6" style="3" customWidth="1"/>
    <col min="10777" max="10777" width="8.5" style="3" customWidth="1"/>
    <col min="10778" max="10778" width="8.75" style="3" customWidth="1"/>
    <col min="10779" max="10779" width="6.75" style="3" customWidth="1"/>
    <col min="10780" max="10780" width="9.75" style="3" customWidth="1"/>
    <col min="10781" max="10781" width="7.75" style="3" customWidth="1"/>
    <col min="10782" max="10782" width="7.625" style="3" customWidth="1"/>
    <col min="10783" max="10783" width="8.875" style="3" customWidth="1"/>
    <col min="10784" max="10784" width="9.75" style="3" customWidth="1"/>
    <col min="10785" max="10785" width="6.75" style="3" customWidth="1"/>
    <col min="10786" max="10790" width="9.75" style="3" customWidth="1"/>
    <col min="10791" max="10791" width="6.75" style="3" customWidth="1"/>
    <col min="10792" max="10792" width="11" style="3" customWidth="1"/>
    <col min="10793" max="10793" width="8.5" style="3" customWidth="1"/>
    <col min="10794" max="11009" width="9" style="3"/>
    <col min="11010" max="11010" width="4.375" style="3" customWidth="1"/>
    <col min="11011" max="11011" width="2.25" style="3" customWidth="1"/>
    <col min="11012" max="11014" width="2.375" style="3" customWidth="1"/>
    <col min="11015" max="11015" width="21" style="3" customWidth="1"/>
    <col min="11016" max="11016" width="3.625" style="3" customWidth="1"/>
    <col min="11017" max="11017" width="3.125" style="3" customWidth="1"/>
    <col min="11018" max="11018" width="5.125" style="3" customWidth="1"/>
    <col min="11019" max="11019" width="4.875" style="3" customWidth="1"/>
    <col min="11020" max="11020" width="5.25" style="3" customWidth="1"/>
    <col min="11021" max="11021" width="4.25" style="3" customWidth="1"/>
    <col min="11022" max="11022" width="5" style="3" customWidth="1"/>
    <col min="11023" max="11023" width="4.875" style="3" customWidth="1"/>
    <col min="11024" max="11024" width="5.75" style="3" customWidth="1"/>
    <col min="11025" max="11025" width="6" style="3" customWidth="1"/>
    <col min="11026" max="11026" width="7.75" style="3" customWidth="1"/>
    <col min="11027" max="11027" width="7.375" style="3" customWidth="1"/>
    <col min="11028" max="11028" width="8.75" style="3" customWidth="1"/>
    <col min="11029" max="11029" width="6.75" style="3" customWidth="1"/>
    <col min="11030" max="11030" width="9.5" style="3" customWidth="1"/>
    <col min="11031" max="11031" width="6.25" style="3" customWidth="1"/>
    <col min="11032" max="11032" width="6" style="3" customWidth="1"/>
    <col min="11033" max="11033" width="8.5" style="3" customWidth="1"/>
    <col min="11034" max="11034" width="8.75" style="3" customWidth="1"/>
    <col min="11035" max="11035" width="6.75" style="3" customWidth="1"/>
    <col min="11036" max="11036" width="9.75" style="3" customWidth="1"/>
    <col min="11037" max="11037" width="7.75" style="3" customWidth="1"/>
    <col min="11038" max="11038" width="7.625" style="3" customWidth="1"/>
    <col min="11039" max="11039" width="8.875" style="3" customWidth="1"/>
    <col min="11040" max="11040" width="9.75" style="3" customWidth="1"/>
    <col min="11041" max="11041" width="6.75" style="3" customWidth="1"/>
    <col min="11042" max="11046" width="9.75" style="3" customWidth="1"/>
    <col min="11047" max="11047" width="6.75" style="3" customWidth="1"/>
    <col min="11048" max="11048" width="11" style="3" customWidth="1"/>
    <col min="11049" max="11049" width="8.5" style="3" customWidth="1"/>
    <col min="11050" max="11265" width="9" style="3"/>
    <col min="11266" max="11266" width="4.375" style="3" customWidth="1"/>
    <col min="11267" max="11267" width="2.25" style="3" customWidth="1"/>
    <col min="11268" max="11270" width="2.375" style="3" customWidth="1"/>
    <col min="11271" max="11271" width="21" style="3" customWidth="1"/>
    <col min="11272" max="11272" width="3.625" style="3" customWidth="1"/>
    <col min="11273" max="11273" width="3.125" style="3" customWidth="1"/>
    <col min="11274" max="11274" width="5.125" style="3" customWidth="1"/>
    <col min="11275" max="11275" width="4.875" style="3" customWidth="1"/>
    <col min="11276" max="11276" width="5.25" style="3" customWidth="1"/>
    <col min="11277" max="11277" width="4.25" style="3" customWidth="1"/>
    <col min="11278" max="11278" width="5" style="3" customWidth="1"/>
    <col min="11279" max="11279" width="4.875" style="3" customWidth="1"/>
    <col min="11280" max="11280" width="5.75" style="3" customWidth="1"/>
    <col min="11281" max="11281" width="6" style="3" customWidth="1"/>
    <col min="11282" max="11282" width="7.75" style="3" customWidth="1"/>
    <col min="11283" max="11283" width="7.375" style="3" customWidth="1"/>
    <col min="11284" max="11284" width="8.75" style="3" customWidth="1"/>
    <col min="11285" max="11285" width="6.75" style="3" customWidth="1"/>
    <col min="11286" max="11286" width="9.5" style="3" customWidth="1"/>
    <col min="11287" max="11287" width="6.25" style="3" customWidth="1"/>
    <col min="11288" max="11288" width="6" style="3" customWidth="1"/>
    <col min="11289" max="11289" width="8.5" style="3" customWidth="1"/>
    <col min="11290" max="11290" width="8.75" style="3" customWidth="1"/>
    <col min="11291" max="11291" width="6.75" style="3" customWidth="1"/>
    <col min="11292" max="11292" width="9.75" style="3" customWidth="1"/>
    <col min="11293" max="11293" width="7.75" style="3" customWidth="1"/>
    <col min="11294" max="11294" width="7.625" style="3" customWidth="1"/>
    <col min="11295" max="11295" width="8.875" style="3" customWidth="1"/>
    <col min="11296" max="11296" width="9.75" style="3" customWidth="1"/>
    <col min="11297" max="11297" width="6.75" style="3" customWidth="1"/>
    <col min="11298" max="11302" width="9.75" style="3" customWidth="1"/>
    <col min="11303" max="11303" width="6.75" style="3" customWidth="1"/>
    <col min="11304" max="11304" width="11" style="3" customWidth="1"/>
    <col min="11305" max="11305" width="8.5" style="3" customWidth="1"/>
    <col min="11306" max="11521" width="9" style="3"/>
    <col min="11522" max="11522" width="4.375" style="3" customWidth="1"/>
    <col min="11523" max="11523" width="2.25" style="3" customWidth="1"/>
    <col min="11524" max="11526" width="2.375" style="3" customWidth="1"/>
    <col min="11527" max="11527" width="21" style="3" customWidth="1"/>
    <col min="11528" max="11528" width="3.625" style="3" customWidth="1"/>
    <col min="11529" max="11529" width="3.125" style="3" customWidth="1"/>
    <col min="11530" max="11530" width="5.125" style="3" customWidth="1"/>
    <col min="11531" max="11531" width="4.875" style="3" customWidth="1"/>
    <col min="11532" max="11532" width="5.25" style="3" customWidth="1"/>
    <col min="11533" max="11533" width="4.25" style="3" customWidth="1"/>
    <col min="11534" max="11534" width="5" style="3" customWidth="1"/>
    <col min="11535" max="11535" width="4.875" style="3" customWidth="1"/>
    <col min="11536" max="11536" width="5.75" style="3" customWidth="1"/>
    <col min="11537" max="11537" width="6" style="3" customWidth="1"/>
    <col min="11538" max="11538" width="7.75" style="3" customWidth="1"/>
    <col min="11539" max="11539" width="7.375" style="3" customWidth="1"/>
    <col min="11540" max="11540" width="8.75" style="3" customWidth="1"/>
    <col min="11541" max="11541" width="6.75" style="3" customWidth="1"/>
    <col min="11542" max="11542" width="9.5" style="3" customWidth="1"/>
    <col min="11543" max="11543" width="6.25" style="3" customWidth="1"/>
    <col min="11544" max="11544" width="6" style="3" customWidth="1"/>
    <col min="11545" max="11545" width="8.5" style="3" customWidth="1"/>
    <col min="11546" max="11546" width="8.75" style="3" customWidth="1"/>
    <col min="11547" max="11547" width="6.75" style="3" customWidth="1"/>
    <col min="11548" max="11548" width="9.75" style="3" customWidth="1"/>
    <col min="11549" max="11549" width="7.75" style="3" customWidth="1"/>
    <col min="11550" max="11550" width="7.625" style="3" customWidth="1"/>
    <col min="11551" max="11551" width="8.875" style="3" customWidth="1"/>
    <col min="11552" max="11552" width="9.75" style="3" customWidth="1"/>
    <col min="11553" max="11553" width="6.75" style="3" customWidth="1"/>
    <col min="11554" max="11558" width="9.75" style="3" customWidth="1"/>
    <col min="11559" max="11559" width="6.75" style="3" customWidth="1"/>
    <col min="11560" max="11560" width="11" style="3" customWidth="1"/>
    <col min="11561" max="11561" width="8.5" style="3" customWidth="1"/>
    <col min="11562" max="11777" width="9" style="3"/>
    <col min="11778" max="11778" width="4.375" style="3" customWidth="1"/>
    <col min="11779" max="11779" width="2.25" style="3" customWidth="1"/>
    <col min="11780" max="11782" width="2.375" style="3" customWidth="1"/>
    <col min="11783" max="11783" width="21" style="3" customWidth="1"/>
    <col min="11784" max="11784" width="3.625" style="3" customWidth="1"/>
    <col min="11785" max="11785" width="3.125" style="3" customWidth="1"/>
    <col min="11786" max="11786" width="5.125" style="3" customWidth="1"/>
    <col min="11787" max="11787" width="4.875" style="3" customWidth="1"/>
    <col min="11788" max="11788" width="5.25" style="3" customWidth="1"/>
    <col min="11789" max="11789" width="4.25" style="3" customWidth="1"/>
    <col min="11790" max="11790" width="5" style="3" customWidth="1"/>
    <col min="11791" max="11791" width="4.875" style="3" customWidth="1"/>
    <col min="11792" max="11792" width="5.75" style="3" customWidth="1"/>
    <col min="11793" max="11793" width="6" style="3" customWidth="1"/>
    <col min="11794" max="11794" width="7.75" style="3" customWidth="1"/>
    <col min="11795" max="11795" width="7.375" style="3" customWidth="1"/>
    <col min="11796" max="11796" width="8.75" style="3" customWidth="1"/>
    <col min="11797" max="11797" width="6.75" style="3" customWidth="1"/>
    <col min="11798" max="11798" width="9.5" style="3" customWidth="1"/>
    <col min="11799" max="11799" width="6.25" style="3" customWidth="1"/>
    <col min="11800" max="11800" width="6" style="3" customWidth="1"/>
    <col min="11801" max="11801" width="8.5" style="3" customWidth="1"/>
    <col min="11802" max="11802" width="8.75" style="3" customWidth="1"/>
    <col min="11803" max="11803" width="6.75" style="3" customWidth="1"/>
    <col min="11804" max="11804" width="9.75" style="3" customWidth="1"/>
    <col min="11805" max="11805" width="7.75" style="3" customWidth="1"/>
    <col min="11806" max="11806" width="7.625" style="3" customWidth="1"/>
    <col min="11807" max="11807" width="8.875" style="3" customWidth="1"/>
    <col min="11808" max="11808" width="9.75" style="3" customWidth="1"/>
    <col min="11809" max="11809" width="6.75" style="3" customWidth="1"/>
    <col min="11810" max="11814" width="9.75" style="3" customWidth="1"/>
    <col min="11815" max="11815" width="6.75" style="3" customWidth="1"/>
    <col min="11816" max="11816" width="11" style="3" customWidth="1"/>
    <col min="11817" max="11817" width="8.5" style="3" customWidth="1"/>
    <col min="11818" max="12033" width="9" style="3"/>
    <col min="12034" max="12034" width="4.375" style="3" customWidth="1"/>
    <col min="12035" max="12035" width="2.25" style="3" customWidth="1"/>
    <col min="12036" max="12038" width="2.375" style="3" customWidth="1"/>
    <col min="12039" max="12039" width="21" style="3" customWidth="1"/>
    <col min="12040" max="12040" width="3.625" style="3" customWidth="1"/>
    <col min="12041" max="12041" width="3.125" style="3" customWidth="1"/>
    <col min="12042" max="12042" width="5.125" style="3" customWidth="1"/>
    <col min="12043" max="12043" width="4.875" style="3" customWidth="1"/>
    <col min="12044" max="12044" width="5.25" style="3" customWidth="1"/>
    <col min="12045" max="12045" width="4.25" style="3" customWidth="1"/>
    <col min="12046" max="12046" width="5" style="3" customWidth="1"/>
    <col min="12047" max="12047" width="4.875" style="3" customWidth="1"/>
    <col min="12048" max="12048" width="5.75" style="3" customWidth="1"/>
    <col min="12049" max="12049" width="6" style="3" customWidth="1"/>
    <col min="12050" max="12050" width="7.75" style="3" customWidth="1"/>
    <col min="12051" max="12051" width="7.375" style="3" customWidth="1"/>
    <col min="12052" max="12052" width="8.75" style="3" customWidth="1"/>
    <col min="12053" max="12053" width="6.75" style="3" customWidth="1"/>
    <col min="12054" max="12054" width="9.5" style="3" customWidth="1"/>
    <col min="12055" max="12055" width="6.25" style="3" customWidth="1"/>
    <col min="12056" max="12056" width="6" style="3" customWidth="1"/>
    <col min="12057" max="12057" width="8.5" style="3" customWidth="1"/>
    <col min="12058" max="12058" width="8.75" style="3" customWidth="1"/>
    <col min="12059" max="12059" width="6.75" style="3" customWidth="1"/>
    <col min="12060" max="12060" width="9.75" style="3" customWidth="1"/>
    <col min="12061" max="12061" width="7.75" style="3" customWidth="1"/>
    <col min="12062" max="12062" width="7.625" style="3" customWidth="1"/>
    <col min="12063" max="12063" width="8.875" style="3" customWidth="1"/>
    <col min="12064" max="12064" width="9.75" style="3" customWidth="1"/>
    <col min="12065" max="12065" width="6.75" style="3" customWidth="1"/>
    <col min="12066" max="12070" width="9.75" style="3" customWidth="1"/>
    <col min="12071" max="12071" width="6.75" style="3" customWidth="1"/>
    <col min="12072" max="12072" width="11" style="3" customWidth="1"/>
    <col min="12073" max="12073" width="8.5" style="3" customWidth="1"/>
    <col min="12074" max="12289" width="9" style="3"/>
    <col min="12290" max="12290" width="4.375" style="3" customWidth="1"/>
    <col min="12291" max="12291" width="2.25" style="3" customWidth="1"/>
    <col min="12292" max="12294" width="2.375" style="3" customWidth="1"/>
    <col min="12295" max="12295" width="21" style="3" customWidth="1"/>
    <col min="12296" max="12296" width="3.625" style="3" customWidth="1"/>
    <col min="12297" max="12297" width="3.125" style="3" customWidth="1"/>
    <col min="12298" max="12298" width="5.125" style="3" customWidth="1"/>
    <col min="12299" max="12299" width="4.875" style="3" customWidth="1"/>
    <col min="12300" max="12300" width="5.25" style="3" customWidth="1"/>
    <col min="12301" max="12301" width="4.25" style="3" customWidth="1"/>
    <col min="12302" max="12302" width="5" style="3" customWidth="1"/>
    <col min="12303" max="12303" width="4.875" style="3" customWidth="1"/>
    <col min="12304" max="12304" width="5.75" style="3" customWidth="1"/>
    <col min="12305" max="12305" width="6" style="3" customWidth="1"/>
    <col min="12306" max="12306" width="7.75" style="3" customWidth="1"/>
    <col min="12307" max="12307" width="7.375" style="3" customWidth="1"/>
    <col min="12308" max="12308" width="8.75" style="3" customWidth="1"/>
    <col min="12309" max="12309" width="6.75" style="3" customWidth="1"/>
    <col min="12310" max="12310" width="9.5" style="3" customWidth="1"/>
    <col min="12311" max="12311" width="6.25" style="3" customWidth="1"/>
    <col min="12312" max="12312" width="6" style="3" customWidth="1"/>
    <col min="12313" max="12313" width="8.5" style="3" customWidth="1"/>
    <col min="12314" max="12314" width="8.75" style="3" customWidth="1"/>
    <col min="12315" max="12315" width="6.75" style="3" customWidth="1"/>
    <col min="12316" max="12316" width="9.75" style="3" customWidth="1"/>
    <col min="12317" max="12317" width="7.75" style="3" customWidth="1"/>
    <col min="12318" max="12318" width="7.625" style="3" customWidth="1"/>
    <col min="12319" max="12319" width="8.875" style="3" customWidth="1"/>
    <col min="12320" max="12320" width="9.75" style="3" customWidth="1"/>
    <col min="12321" max="12321" width="6.75" style="3" customWidth="1"/>
    <col min="12322" max="12326" width="9.75" style="3" customWidth="1"/>
    <col min="12327" max="12327" width="6.75" style="3" customWidth="1"/>
    <col min="12328" max="12328" width="11" style="3" customWidth="1"/>
    <col min="12329" max="12329" width="8.5" style="3" customWidth="1"/>
    <col min="12330" max="12545" width="9" style="3"/>
    <col min="12546" max="12546" width="4.375" style="3" customWidth="1"/>
    <col min="12547" max="12547" width="2.25" style="3" customWidth="1"/>
    <col min="12548" max="12550" width="2.375" style="3" customWidth="1"/>
    <col min="12551" max="12551" width="21" style="3" customWidth="1"/>
    <col min="12552" max="12552" width="3.625" style="3" customWidth="1"/>
    <col min="12553" max="12553" width="3.125" style="3" customWidth="1"/>
    <col min="12554" max="12554" width="5.125" style="3" customWidth="1"/>
    <col min="12555" max="12555" width="4.875" style="3" customWidth="1"/>
    <col min="12556" max="12556" width="5.25" style="3" customWidth="1"/>
    <col min="12557" max="12557" width="4.25" style="3" customWidth="1"/>
    <col min="12558" max="12558" width="5" style="3" customWidth="1"/>
    <col min="12559" max="12559" width="4.875" style="3" customWidth="1"/>
    <col min="12560" max="12560" width="5.75" style="3" customWidth="1"/>
    <col min="12561" max="12561" width="6" style="3" customWidth="1"/>
    <col min="12562" max="12562" width="7.75" style="3" customWidth="1"/>
    <col min="12563" max="12563" width="7.375" style="3" customWidth="1"/>
    <col min="12564" max="12564" width="8.75" style="3" customWidth="1"/>
    <col min="12565" max="12565" width="6.75" style="3" customWidth="1"/>
    <col min="12566" max="12566" width="9.5" style="3" customWidth="1"/>
    <col min="12567" max="12567" width="6.25" style="3" customWidth="1"/>
    <col min="12568" max="12568" width="6" style="3" customWidth="1"/>
    <col min="12569" max="12569" width="8.5" style="3" customWidth="1"/>
    <col min="12570" max="12570" width="8.75" style="3" customWidth="1"/>
    <col min="12571" max="12571" width="6.75" style="3" customWidth="1"/>
    <col min="12572" max="12572" width="9.75" style="3" customWidth="1"/>
    <col min="12573" max="12573" width="7.75" style="3" customWidth="1"/>
    <col min="12574" max="12574" width="7.625" style="3" customWidth="1"/>
    <col min="12575" max="12575" width="8.875" style="3" customWidth="1"/>
    <col min="12576" max="12576" width="9.75" style="3" customWidth="1"/>
    <col min="12577" max="12577" width="6.75" style="3" customWidth="1"/>
    <col min="12578" max="12582" width="9.75" style="3" customWidth="1"/>
    <col min="12583" max="12583" width="6.75" style="3" customWidth="1"/>
    <col min="12584" max="12584" width="11" style="3" customWidth="1"/>
    <col min="12585" max="12585" width="8.5" style="3" customWidth="1"/>
    <col min="12586" max="12801" width="9" style="3"/>
    <col min="12802" max="12802" width="4.375" style="3" customWidth="1"/>
    <col min="12803" max="12803" width="2.25" style="3" customWidth="1"/>
    <col min="12804" max="12806" width="2.375" style="3" customWidth="1"/>
    <col min="12807" max="12807" width="21" style="3" customWidth="1"/>
    <col min="12808" max="12808" width="3.625" style="3" customWidth="1"/>
    <col min="12809" max="12809" width="3.125" style="3" customWidth="1"/>
    <col min="12810" max="12810" width="5.125" style="3" customWidth="1"/>
    <col min="12811" max="12811" width="4.875" style="3" customWidth="1"/>
    <col min="12812" max="12812" width="5.25" style="3" customWidth="1"/>
    <col min="12813" max="12813" width="4.25" style="3" customWidth="1"/>
    <col min="12814" max="12814" width="5" style="3" customWidth="1"/>
    <col min="12815" max="12815" width="4.875" style="3" customWidth="1"/>
    <col min="12816" max="12816" width="5.75" style="3" customWidth="1"/>
    <col min="12817" max="12817" width="6" style="3" customWidth="1"/>
    <col min="12818" max="12818" width="7.75" style="3" customWidth="1"/>
    <col min="12819" max="12819" width="7.375" style="3" customWidth="1"/>
    <col min="12820" max="12820" width="8.75" style="3" customWidth="1"/>
    <col min="12821" max="12821" width="6.75" style="3" customWidth="1"/>
    <col min="12822" max="12822" width="9.5" style="3" customWidth="1"/>
    <col min="12823" max="12823" width="6.25" style="3" customWidth="1"/>
    <col min="12824" max="12824" width="6" style="3" customWidth="1"/>
    <col min="12825" max="12825" width="8.5" style="3" customWidth="1"/>
    <col min="12826" max="12826" width="8.75" style="3" customWidth="1"/>
    <col min="12827" max="12827" width="6.75" style="3" customWidth="1"/>
    <col min="12828" max="12828" width="9.75" style="3" customWidth="1"/>
    <col min="12829" max="12829" width="7.75" style="3" customWidth="1"/>
    <col min="12830" max="12830" width="7.625" style="3" customWidth="1"/>
    <col min="12831" max="12831" width="8.875" style="3" customWidth="1"/>
    <col min="12832" max="12832" width="9.75" style="3" customWidth="1"/>
    <col min="12833" max="12833" width="6.75" style="3" customWidth="1"/>
    <col min="12834" max="12838" width="9.75" style="3" customWidth="1"/>
    <col min="12839" max="12839" width="6.75" style="3" customWidth="1"/>
    <col min="12840" max="12840" width="11" style="3" customWidth="1"/>
    <col min="12841" max="12841" width="8.5" style="3" customWidth="1"/>
    <col min="12842" max="13057" width="9" style="3"/>
    <col min="13058" max="13058" width="4.375" style="3" customWidth="1"/>
    <col min="13059" max="13059" width="2.25" style="3" customWidth="1"/>
    <col min="13060" max="13062" width="2.375" style="3" customWidth="1"/>
    <col min="13063" max="13063" width="21" style="3" customWidth="1"/>
    <col min="13064" max="13064" width="3.625" style="3" customWidth="1"/>
    <col min="13065" max="13065" width="3.125" style="3" customWidth="1"/>
    <col min="13066" max="13066" width="5.125" style="3" customWidth="1"/>
    <col min="13067" max="13067" width="4.875" style="3" customWidth="1"/>
    <col min="13068" max="13068" width="5.25" style="3" customWidth="1"/>
    <col min="13069" max="13069" width="4.25" style="3" customWidth="1"/>
    <col min="13070" max="13070" width="5" style="3" customWidth="1"/>
    <col min="13071" max="13071" width="4.875" style="3" customWidth="1"/>
    <col min="13072" max="13072" width="5.75" style="3" customWidth="1"/>
    <col min="13073" max="13073" width="6" style="3" customWidth="1"/>
    <col min="13074" max="13074" width="7.75" style="3" customWidth="1"/>
    <col min="13075" max="13075" width="7.375" style="3" customWidth="1"/>
    <col min="13076" max="13076" width="8.75" style="3" customWidth="1"/>
    <col min="13077" max="13077" width="6.75" style="3" customWidth="1"/>
    <col min="13078" max="13078" width="9.5" style="3" customWidth="1"/>
    <col min="13079" max="13079" width="6.25" style="3" customWidth="1"/>
    <col min="13080" max="13080" width="6" style="3" customWidth="1"/>
    <col min="13081" max="13081" width="8.5" style="3" customWidth="1"/>
    <col min="13082" max="13082" width="8.75" style="3" customWidth="1"/>
    <col min="13083" max="13083" width="6.75" style="3" customWidth="1"/>
    <col min="13084" max="13084" width="9.75" style="3" customWidth="1"/>
    <col min="13085" max="13085" width="7.75" style="3" customWidth="1"/>
    <col min="13086" max="13086" width="7.625" style="3" customWidth="1"/>
    <col min="13087" max="13087" width="8.875" style="3" customWidth="1"/>
    <col min="13088" max="13088" width="9.75" style="3" customWidth="1"/>
    <col min="13089" max="13089" width="6.75" style="3" customWidth="1"/>
    <col min="13090" max="13094" width="9.75" style="3" customWidth="1"/>
    <col min="13095" max="13095" width="6.75" style="3" customWidth="1"/>
    <col min="13096" max="13096" width="11" style="3" customWidth="1"/>
    <col min="13097" max="13097" width="8.5" style="3" customWidth="1"/>
    <col min="13098" max="13313" width="9" style="3"/>
    <col min="13314" max="13314" width="4.375" style="3" customWidth="1"/>
    <col min="13315" max="13315" width="2.25" style="3" customWidth="1"/>
    <col min="13316" max="13318" width="2.375" style="3" customWidth="1"/>
    <col min="13319" max="13319" width="21" style="3" customWidth="1"/>
    <col min="13320" max="13320" width="3.625" style="3" customWidth="1"/>
    <col min="13321" max="13321" width="3.125" style="3" customWidth="1"/>
    <col min="13322" max="13322" width="5.125" style="3" customWidth="1"/>
    <col min="13323" max="13323" width="4.875" style="3" customWidth="1"/>
    <col min="13324" max="13324" width="5.25" style="3" customWidth="1"/>
    <col min="13325" max="13325" width="4.25" style="3" customWidth="1"/>
    <col min="13326" max="13326" width="5" style="3" customWidth="1"/>
    <col min="13327" max="13327" width="4.875" style="3" customWidth="1"/>
    <col min="13328" max="13328" width="5.75" style="3" customWidth="1"/>
    <col min="13329" max="13329" width="6" style="3" customWidth="1"/>
    <col min="13330" max="13330" width="7.75" style="3" customWidth="1"/>
    <col min="13331" max="13331" width="7.375" style="3" customWidth="1"/>
    <col min="13332" max="13332" width="8.75" style="3" customWidth="1"/>
    <col min="13333" max="13333" width="6.75" style="3" customWidth="1"/>
    <col min="13334" max="13334" width="9.5" style="3" customWidth="1"/>
    <col min="13335" max="13335" width="6.25" style="3" customWidth="1"/>
    <col min="13336" max="13336" width="6" style="3" customWidth="1"/>
    <col min="13337" max="13337" width="8.5" style="3" customWidth="1"/>
    <col min="13338" max="13338" width="8.75" style="3" customWidth="1"/>
    <col min="13339" max="13339" width="6.75" style="3" customWidth="1"/>
    <col min="13340" max="13340" width="9.75" style="3" customWidth="1"/>
    <col min="13341" max="13341" width="7.75" style="3" customWidth="1"/>
    <col min="13342" max="13342" width="7.625" style="3" customWidth="1"/>
    <col min="13343" max="13343" width="8.875" style="3" customWidth="1"/>
    <col min="13344" max="13344" width="9.75" style="3" customWidth="1"/>
    <col min="13345" max="13345" width="6.75" style="3" customWidth="1"/>
    <col min="13346" max="13350" width="9.75" style="3" customWidth="1"/>
    <col min="13351" max="13351" width="6.75" style="3" customWidth="1"/>
    <col min="13352" max="13352" width="11" style="3" customWidth="1"/>
    <col min="13353" max="13353" width="8.5" style="3" customWidth="1"/>
    <col min="13354" max="13569" width="9" style="3"/>
    <col min="13570" max="13570" width="4.375" style="3" customWidth="1"/>
    <col min="13571" max="13571" width="2.25" style="3" customWidth="1"/>
    <col min="13572" max="13574" width="2.375" style="3" customWidth="1"/>
    <col min="13575" max="13575" width="21" style="3" customWidth="1"/>
    <col min="13576" max="13576" width="3.625" style="3" customWidth="1"/>
    <col min="13577" max="13577" width="3.125" style="3" customWidth="1"/>
    <col min="13578" max="13578" width="5.125" style="3" customWidth="1"/>
    <col min="13579" max="13579" width="4.875" style="3" customWidth="1"/>
    <col min="13580" max="13580" width="5.25" style="3" customWidth="1"/>
    <col min="13581" max="13581" width="4.25" style="3" customWidth="1"/>
    <col min="13582" max="13582" width="5" style="3" customWidth="1"/>
    <col min="13583" max="13583" width="4.875" style="3" customWidth="1"/>
    <col min="13584" max="13584" width="5.75" style="3" customWidth="1"/>
    <col min="13585" max="13585" width="6" style="3" customWidth="1"/>
    <col min="13586" max="13586" width="7.75" style="3" customWidth="1"/>
    <col min="13587" max="13587" width="7.375" style="3" customWidth="1"/>
    <col min="13588" max="13588" width="8.75" style="3" customWidth="1"/>
    <col min="13589" max="13589" width="6.75" style="3" customWidth="1"/>
    <col min="13590" max="13590" width="9.5" style="3" customWidth="1"/>
    <col min="13591" max="13591" width="6.25" style="3" customWidth="1"/>
    <col min="13592" max="13592" width="6" style="3" customWidth="1"/>
    <col min="13593" max="13593" width="8.5" style="3" customWidth="1"/>
    <col min="13594" max="13594" width="8.75" style="3" customWidth="1"/>
    <col min="13595" max="13595" width="6.75" style="3" customWidth="1"/>
    <col min="13596" max="13596" width="9.75" style="3" customWidth="1"/>
    <col min="13597" max="13597" width="7.75" style="3" customWidth="1"/>
    <col min="13598" max="13598" width="7.625" style="3" customWidth="1"/>
    <col min="13599" max="13599" width="8.875" style="3" customWidth="1"/>
    <col min="13600" max="13600" width="9.75" style="3" customWidth="1"/>
    <col min="13601" max="13601" width="6.75" style="3" customWidth="1"/>
    <col min="13602" max="13606" width="9.75" style="3" customWidth="1"/>
    <col min="13607" max="13607" width="6.75" style="3" customWidth="1"/>
    <col min="13608" max="13608" width="11" style="3" customWidth="1"/>
    <col min="13609" max="13609" width="8.5" style="3" customWidth="1"/>
    <col min="13610" max="13825" width="9" style="3"/>
    <col min="13826" max="13826" width="4.375" style="3" customWidth="1"/>
    <col min="13827" max="13827" width="2.25" style="3" customWidth="1"/>
    <col min="13828" max="13830" width="2.375" style="3" customWidth="1"/>
    <col min="13831" max="13831" width="21" style="3" customWidth="1"/>
    <col min="13832" max="13832" width="3.625" style="3" customWidth="1"/>
    <col min="13833" max="13833" width="3.125" style="3" customWidth="1"/>
    <col min="13834" max="13834" width="5.125" style="3" customWidth="1"/>
    <col min="13835" max="13835" width="4.875" style="3" customWidth="1"/>
    <col min="13836" max="13836" width="5.25" style="3" customWidth="1"/>
    <col min="13837" max="13837" width="4.25" style="3" customWidth="1"/>
    <col min="13838" max="13838" width="5" style="3" customWidth="1"/>
    <col min="13839" max="13839" width="4.875" style="3" customWidth="1"/>
    <col min="13840" max="13840" width="5.75" style="3" customWidth="1"/>
    <col min="13841" max="13841" width="6" style="3" customWidth="1"/>
    <col min="13842" max="13842" width="7.75" style="3" customWidth="1"/>
    <col min="13843" max="13843" width="7.375" style="3" customWidth="1"/>
    <col min="13844" max="13844" width="8.75" style="3" customWidth="1"/>
    <col min="13845" max="13845" width="6.75" style="3" customWidth="1"/>
    <col min="13846" max="13846" width="9.5" style="3" customWidth="1"/>
    <col min="13847" max="13847" width="6.25" style="3" customWidth="1"/>
    <col min="13848" max="13848" width="6" style="3" customWidth="1"/>
    <col min="13849" max="13849" width="8.5" style="3" customWidth="1"/>
    <col min="13850" max="13850" width="8.75" style="3" customWidth="1"/>
    <col min="13851" max="13851" width="6.75" style="3" customWidth="1"/>
    <col min="13852" max="13852" width="9.75" style="3" customWidth="1"/>
    <col min="13853" max="13853" width="7.75" style="3" customWidth="1"/>
    <col min="13854" max="13854" width="7.625" style="3" customWidth="1"/>
    <col min="13855" max="13855" width="8.875" style="3" customWidth="1"/>
    <col min="13856" max="13856" width="9.75" style="3" customWidth="1"/>
    <col min="13857" max="13857" width="6.75" style="3" customWidth="1"/>
    <col min="13858" max="13862" width="9.75" style="3" customWidth="1"/>
    <col min="13863" max="13863" width="6.75" style="3" customWidth="1"/>
    <col min="13864" max="13864" width="11" style="3" customWidth="1"/>
    <col min="13865" max="13865" width="8.5" style="3" customWidth="1"/>
    <col min="13866" max="14081" width="9" style="3"/>
    <col min="14082" max="14082" width="4.375" style="3" customWidth="1"/>
    <col min="14083" max="14083" width="2.25" style="3" customWidth="1"/>
    <col min="14084" max="14086" width="2.375" style="3" customWidth="1"/>
    <col min="14087" max="14087" width="21" style="3" customWidth="1"/>
    <col min="14088" max="14088" width="3.625" style="3" customWidth="1"/>
    <col min="14089" max="14089" width="3.125" style="3" customWidth="1"/>
    <col min="14090" max="14090" width="5.125" style="3" customWidth="1"/>
    <col min="14091" max="14091" width="4.875" style="3" customWidth="1"/>
    <col min="14092" max="14092" width="5.25" style="3" customWidth="1"/>
    <col min="14093" max="14093" width="4.25" style="3" customWidth="1"/>
    <col min="14094" max="14094" width="5" style="3" customWidth="1"/>
    <col min="14095" max="14095" width="4.875" style="3" customWidth="1"/>
    <col min="14096" max="14096" width="5.75" style="3" customWidth="1"/>
    <col min="14097" max="14097" width="6" style="3" customWidth="1"/>
    <col min="14098" max="14098" width="7.75" style="3" customWidth="1"/>
    <col min="14099" max="14099" width="7.375" style="3" customWidth="1"/>
    <col min="14100" max="14100" width="8.75" style="3" customWidth="1"/>
    <col min="14101" max="14101" width="6.75" style="3" customWidth="1"/>
    <col min="14102" max="14102" width="9.5" style="3" customWidth="1"/>
    <col min="14103" max="14103" width="6.25" style="3" customWidth="1"/>
    <col min="14104" max="14104" width="6" style="3" customWidth="1"/>
    <col min="14105" max="14105" width="8.5" style="3" customWidth="1"/>
    <col min="14106" max="14106" width="8.75" style="3" customWidth="1"/>
    <col min="14107" max="14107" width="6.75" style="3" customWidth="1"/>
    <col min="14108" max="14108" width="9.75" style="3" customWidth="1"/>
    <col min="14109" max="14109" width="7.75" style="3" customWidth="1"/>
    <col min="14110" max="14110" width="7.625" style="3" customWidth="1"/>
    <col min="14111" max="14111" width="8.875" style="3" customWidth="1"/>
    <col min="14112" max="14112" width="9.75" style="3" customWidth="1"/>
    <col min="14113" max="14113" width="6.75" style="3" customWidth="1"/>
    <col min="14114" max="14118" width="9.75" style="3" customWidth="1"/>
    <col min="14119" max="14119" width="6.75" style="3" customWidth="1"/>
    <col min="14120" max="14120" width="11" style="3" customWidth="1"/>
    <col min="14121" max="14121" width="8.5" style="3" customWidth="1"/>
    <col min="14122" max="14337" width="9" style="3"/>
    <col min="14338" max="14338" width="4.375" style="3" customWidth="1"/>
    <col min="14339" max="14339" width="2.25" style="3" customWidth="1"/>
    <col min="14340" max="14342" width="2.375" style="3" customWidth="1"/>
    <col min="14343" max="14343" width="21" style="3" customWidth="1"/>
    <col min="14344" max="14344" width="3.625" style="3" customWidth="1"/>
    <col min="14345" max="14345" width="3.125" style="3" customWidth="1"/>
    <col min="14346" max="14346" width="5.125" style="3" customWidth="1"/>
    <col min="14347" max="14347" width="4.875" style="3" customWidth="1"/>
    <col min="14348" max="14348" width="5.25" style="3" customWidth="1"/>
    <col min="14349" max="14349" width="4.25" style="3" customWidth="1"/>
    <col min="14350" max="14350" width="5" style="3" customWidth="1"/>
    <col min="14351" max="14351" width="4.875" style="3" customWidth="1"/>
    <col min="14352" max="14352" width="5.75" style="3" customWidth="1"/>
    <col min="14353" max="14353" width="6" style="3" customWidth="1"/>
    <col min="14354" max="14354" width="7.75" style="3" customWidth="1"/>
    <col min="14355" max="14355" width="7.375" style="3" customWidth="1"/>
    <col min="14356" max="14356" width="8.75" style="3" customWidth="1"/>
    <col min="14357" max="14357" width="6.75" style="3" customWidth="1"/>
    <col min="14358" max="14358" width="9.5" style="3" customWidth="1"/>
    <col min="14359" max="14359" width="6.25" style="3" customWidth="1"/>
    <col min="14360" max="14360" width="6" style="3" customWidth="1"/>
    <col min="14361" max="14361" width="8.5" style="3" customWidth="1"/>
    <col min="14362" max="14362" width="8.75" style="3" customWidth="1"/>
    <col min="14363" max="14363" width="6.75" style="3" customWidth="1"/>
    <col min="14364" max="14364" width="9.75" style="3" customWidth="1"/>
    <col min="14365" max="14365" width="7.75" style="3" customWidth="1"/>
    <col min="14366" max="14366" width="7.625" style="3" customWidth="1"/>
    <col min="14367" max="14367" width="8.875" style="3" customWidth="1"/>
    <col min="14368" max="14368" width="9.75" style="3" customWidth="1"/>
    <col min="14369" max="14369" width="6.75" style="3" customWidth="1"/>
    <col min="14370" max="14374" width="9.75" style="3" customWidth="1"/>
    <col min="14375" max="14375" width="6.75" style="3" customWidth="1"/>
    <col min="14376" max="14376" width="11" style="3" customWidth="1"/>
    <col min="14377" max="14377" width="8.5" style="3" customWidth="1"/>
    <col min="14378" max="14593" width="9" style="3"/>
    <col min="14594" max="14594" width="4.375" style="3" customWidth="1"/>
    <col min="14595" max="14595" width="2.25" style="3" customWidth="1"/>
    <col min="14596" max="14598" width="2.375" style="3" customWidth="1"/>
    <col min="14599" max="14599" width="21" style="3" customWidth="1"/>
    <col min="14600" max="14600" width="3.625" style="3" customWidth="1"/>
    <col min="14601" max="14601" width="3.125" style="3" customWidth="1"/>
    <col min="14602" max="14602" width="5.125" style="3" customWidth="1"/>
    <col min="14603" max="14603" width="4.875" style="3" customWidth="1"/>
    <col min="14604" max="14604" width="5.25" style="3" customWidth="1"/>
    <col min="14605" max="14605" width="4.25" style="3" customWidth="1"/>
    <col min="14606" max="14606" width="5" style="3" customWidth="1"/>
    <col min="14607" max="14607" width="4.875" style="3" customWidth="1"/>
    <col min="14608" max="14608" width="5.75" style="3" customWidth="1"/>
    <col min="14609" max="14609" width="6" style="3" customWidth="1"/>
    <col min="14610" max="14610" width="7.75" style="3" customWidth="1"/>
    <col min="14611" max="14611" width="7.375" style="3" customWidth="1"/>
    <col min="14612" max="14612" width="8.75" style="3" customWidth="1"/>
    <col min="14613" max="14613" width="6.75" style="3" customWidth="1"/>
    <col min="14614" max="14614" width="9.5" style="3" customWidth="1"/>
    <col min="14615" max="14615" width="6.25" style="3" customWidth="1"/>
    <col min="14616" max="14616" width="6" style="3" customWidth="1"/>
    <col min="14617" max="14617" width="8.5" style="3" customWidth="1"/>
    <col min="14618" max="14618" width="8.75" style="3" customWidth="1"/>
    <col min="14619" max="14619" width="6.75" style="3" customWidth="1"/>
    <col min="14620" max="14620" width="9.75" style="3" customWidth="1"/>
    <col min="14621" max="14621" width="7.75" style="3" customWidth="1"/>
    <col min="14622" max="14622" width="7.625" style="3" customWidth="1"/>
    <col min="14623" max="14623" width="8.875" style="3" customWidth="1"/>
    <col min="14624" max="14624" width="9.75" style="3" customWidth="1"/>
    <col min="14625" max="14625" width="6.75" style="3" customWidth="1"/>
    <col min="14626" max="14630" width="9.75" style="3" customWidth="1"/>
    <col min="14631" max="14631" width="6.75" style="3" customWidth="1"/>
    <col min="14632" max="14632" width="11" style="3" customWidth="1"/>
    <col min="14633" max="14633" width="8.5" style="3" customWidth="1"/>
    <col min="14634" max="14849" width="9" style="3"/>
    <col min="14850" max="14850" width="4.375" style="3" customWidth="1"/>
    <col min="14851" max="14851" width="2.25" style="3" customWidth="1"/>
    <col min="14852" max="14854" width="2.375" style="3" customWidth="1"/>
    <col min="14855" max="14855" width="21" style="3" customWidth="1"/>
    <col min="14856" max="14856" width="3.625" style="3" customWidth="1"/>
    <col min="14857" max="14857" width="3.125" style="3" customWidth="1"/>
    <col min="14858" max="14858" width="5.125" style="3" customWidth="1"/>
    <col min="14859" max="14859" width="4.875" style="3" customWidth="1"/>
    <col min="14860" max="14860" width="5.25" style="3" customWidth="1"/>
    <col min="14861" max="14861" width="4.25" style="3" customWidth="1"/>
    <col min="14862" max="14862" width="5" style="3" customWidth="1"/>
    <col min="14863" max="14863" width="4.875" style="3" customWidth="1"/>
    <col min="14864" max="14864" width="5.75" style="3" customWidth="1"/>
    <col min="14865" max="14865" width="6" style="3" customWidth="1"/>
    <col min="14866" max="14866" width="7.75" style="3" customWidth="1"/>
    <col min="14867" max="14867" width="7.375" style="3" customWidth="1"/>
    <col min="14868" max="14868" width="8.75" style="3" customWidth="1"/>
    <col min="14869" max="14869" width="6.75" style="3" customWidth="1"/>
    <col min="14870" max="14870" width="9.5" style="3" customWidth="1"/>
    <col min="14871" max="14871" width="6.25" style="3" customWidth="1"/>
    <col min="14872" max="14872" width="6" style="3" customWidth="1"/>
    <col min="14873" max="14873" width="8.5" style="3" customWidth="1"/>
    <col min="14874" max="14874" width="8.75" style="3" customWidth="1"/>
    <col min="14875" max="14875" width="6.75" style="3" customWidth="1"/>
    <col min="14876" max="14876" width="9.75" style="3" customWidth="1"/>
    <col min="14877" max="14877" width="7.75" style="3" customWidth="1"/>
    <col min="14878" max="14878" width="7.625" style="3" customWidth="1"/>
    <col min="14879" max="14879" width="8.875" style="3" customWidth="1"/>
    <col min="14880" max="14880" width="9.75" style="3" customWidth="1"/>
    <col min="14881" max="14881" width="6.75" style="3" customWidth="1"/>
    <col min="14882" max="14886" width="9.75" style="3" customWidth="1"/>
    <col min="14887" max="14887" width="6.75" style="3" customWidth="1"/>
    <col min="14888" max="14888" width="11" style="3" customWidth="1"/>
    <col min="14889" max="14889" width="8.5" style="3" customWidth="1"/>
    <col min="14890" max="15105" width="9" style="3"/>
    <col min="15106" max="15106" width="4.375" style="3" customWidth="1"/>
    <col min="15107" max="15107" width="2.25" style="3" customWidth="1"/>
    <col min="15108" max="15110" width="2.375" style="3" customWidth="1"/>
    <col min="15111" max="15111" width="21" style="3" customWidth="1"/>
    <col min="15112" max="15112" width="3.625" style="3" customWidth="1"/>
    <col min="15113" max="15113" width="3.125" style="3" customWidth="1"/>
    <col min="15114" max="15114" width="5.125" style="3" customWidth="1"/>
    <col min="15115" max="15115" width="4.875" style="3" customWidth="1"/>
    <col min="15116" max="15116" width="5.25" style="3" customWidth="1"/>
    <col min="15117" max="15117" width="4.25" style="3" customWidth="1"/>
    <col min="15118" max="15118" width="5" style="3" customWidth="1"/>
    <col min="15119" max="15119" width="4.875" style="3" customWidth="1"/>
    <col min="15120" max="15120" width="5.75" style="3" customWidth="1"/>
    <col min="15121" max="15121" width="6" style="3" customWidth="1"/>
    <col min="15122" max="15122" width="7.75" style="3" customWidth="1"/>
    <col min="15123" max="15123" width="7.375" style="3" customWidth="1"/>
    <col min="15124" max="15124" width="8.75" style="3" customWidth="1"/>
    <col min="15125" max="15125" width="6.75" style="3" customWidth="1"/>
    <col min="15126" max="15126" width="9.5" style="3" customWidth="1"/>
    <col min="15127" max="15127" width="6.25" style="3" customWidth="1"/>
    <col min="15128" max="15128" width="6" style="3" customWidth="1"/>
    <col min="15129" max="15129" width="8.5" style="3" customWidth="1"/>
    <col min="15130" max="15130" width="8.75" style="3" customWidth="1"/>
    <col min="15131" max="15131" width="6.75" style="3" customWidth="1"/>
    <col min="15132" max="15132" width="9.75" style="3" customWidth="1"/>
    <col min="15133" max="15133" width="7.75" style="3" customWidth="1"/>
    <col min="15134" max="15134" width="7.625" style="3" customWidth="1"/>
    <col min="15135" max="15135" width="8.875" style="3" customWidth="1"/>
    <col min="15136" max="15136" width="9.75" style="3" customWidth="1"/>
    <col min="15137" max="15137" width="6.75" style="3" customWidth="1"/>
    <col min="15138" max="15142" width="9.75" style="3" customWidth="1"/>
    <col min="15143" max="15143" width="6.75" style="3" customWidth="1"/>
    <col min="15144" max="15144" width="11" style="3" customWidth="1"/>
    <col min="15145" max="15145" width="8.5" style="3" customWidth="1"/>
    <col min="15146" max="15361" width="9" style="3"/>
    <col min="15362" max="15362" width="4.375" style="3" customWidth="1"/>
    <col min="15363" max="15363" width="2.25" style="3" customWidth="1"/>
    <col min="15364" max="15366" width="2.375" style="3" customWidth="1"/>
    <col min="15367" max="15367" width="21" style="3" customWidth="1"/>
    <col min="15368" max="15368" width="3.625" style="3" customWidth="1"/>
    <col min="15369" max="15369" width="3.125" style="3" customWidth="1"/>
    <col min="15370" max="15370" width="5.125" style="3" customWidth="1"/>
    <col min="15371" max="15371" width="4.875" style="3" customWidth="1"/>
    <col min="15372" max="15372" width="5.25" style="3" customWidth="1"/>
    <col min="15373" max="15373" width="4.25" style="3" customWidth="1"/>
    <col min="15374" max="15374" width="5" style="3" customWidth="1"/>
    <col min="15375" max="15375" width="4.875" style="3" customWidth="1"/>
    <col min="15376" max="15376" width="5.75" style="3" customWidth="1"/>
    <col min="15377" max="15377" width="6" style="3" customWidth="1"/>
    <col min="15378" max="15378" width="7.75" style="3" customWidth="1"/>
    <col min="15379" max="15379" width="7.375" style="3" customWidth="1"/>
    <col min="15380" max="15380" width="8.75" style="3" customWidth="1"/>
    <col min="15381" max="15381" width="6.75" style="3" customWidth="1"/>
    <col min="15382" max="15382" width="9.5" style="3" customWidth="1"/>
    <col min="15383" max="15383" width="6.25" style="3" customWidth="1"/>
    <col min="15384" max="15384" width="6" style="3" customWidth="1"/>
    <col min="15385" max="15385" width="8.5" style="3" customWidth="1"/>
    <col min="15386" max="15386" width="8.75" style="3" customWidth="1"/>
    <col min="15387" max="15387" width="6.75" style="3" customWidth="1"/>
    <col min="15388" max="15388" width="9.75" style="3" customWidth="1"/>
    <col min="15389" max="15389" width="7.75" style="3" customWidth="1"/>
    <col min="15390" max="15390" width="7.625" style="3" customWidth="1"/>
    <col min="15391" max="15391" width="8.875" style="3" customWidth="1"/>
    <col min="15392" max="15392" width="9.75" style="3" customWidth="1"/>
    <col min="15393" max="15393" width="6.75" style="3" customWidth="1"/>
    <col min="15394" max="15398" width="9.75" style="3" customWidth="1"/>
    <col min="15399" max="15399" width="6.75" style="3" customWidth="1"/>
    <col min="15400" max="15400" width="11" style="3" customWidth="1"/>
    <col min="15401" max="15401" width="8.5" style="3" customWidth="1"/>
    <col min="15402" max="15617" width="9" style="3"/>
    <col min="15618" max="15618" width="4.375" style="3" customWidth="1"/>
    <col min="15619" max="15619" width="2.25" style="3" customWidth="1"/>
    <col min="15620" max="15622" width="2.375" style="3" customWidth="1"/>
    <col min="15623" max="15623" width="21" style="3" customWidth="1"/>
    <col min="15624" max="15624" width="3.625" style="3" customWidth="1"/>
    <col min="15625" max="15625" width="3.125" style="3" customWidth="1"/>
    <col min="15626" max="15626" width="5.125" style="3" customWidth="1"/>
    <col min="15627" max="15627" width="4.875" style="3" customWidth="1"/>
    <col min="15628" max="15628" width="5.25" style="3" customWidth="1"/>
    <col min="15629" max="15629" width="4.25" style="3" customWidth="1"/>
    <col min="15630" max="15630" width="5" style="3" customWidth="1"/>
    <col min="15631" max="15631" width="4.875" style="3" customWidth="1"/>
    <col min="15632" max="15632" width="5.75" style="3" customWidth="1"/>
    <col min="15633" max="15633" width="6" style="3" customWidth="1"/>
    <col min="15634" max="15634" width="7.75" style="3" customWidth="1"/>
    <col min="15635" max="15635" width="7.375" style="3" customWidth="1"/>
    <col min="15636" max="15636" width="8.75" style="3" customWidth="1"/>
    <col min="15637" max="15637" width="6.75" style="3" customWidth="1"/>
    <col min="15638" max="15638" width="9.5" style="3" customWidth="1"/>
    <col min="15639" max="15639" width="6.25" style="3" customWidth="1"/>
    <col min="15640" max="15640" width="6" style="3" customWidth="1"/>
    <col min="15641" max="15641" width="8.5" style="3" customWidth="1"/>
    <col min="15642" max="15642" width="8.75" style="3" customWidth="1"/>
    <col min="15643" max="15643" width="6.75" style="3" customWidth="1"/>
    <col min="15644" max="15644" width="9.75" style="3" customWidth="1"/>
    <col min="15645" max="15645" width="7.75" style="3" customWidth="1"/>
    <col min="15646" max="15646" width="7.625" style="3" customWidth="1"/>
    <col min="15647" max="15647" width="8.875" style="3" customWidth="1"/>
    <col min="15648" max="15648" width="9.75" style="3" customWidth="1"/>
    <col min="15649" max="15649" width="6.75" style="3" customWidth="1"/>
    <col min="15650" max="15654" width="9.75" style="3" customWidth="1"/>
    <col min="15655" max="15655" width="6.75" style="3" customWidth="1"/>
    <col min="15656" max="15656" width="11" style="3" customWidth="1"/>
    <col min="15657" max="15657" width="8.5" style="3" customWidth="1"/>
    <col min="15658" max="15873" width="9" style="3"/>
    <col min="15874" max="15874" width="4.375" style="3" customWidth="1"/>
    <col min="15875" max="15875" width="2.25" style="3" customWidth="1"/>
    <col min="15876" max="15878" width="2.375" style="3" customWidth="1"/>
    <col min="15879" max="15879" width="21" style="3" customWidth="1"/>
    <col min="15880" max="15880" width="3.625" style="3" customWidth="1"/>
    <col min="15881" max="15881" width="3.125" style="3" customWidth="1"/>
    <col min="15882" max="15882" width="5.125" style="3" customWidth="1"/>
    <col min="15883" max="15883" width="4.875" style="3" customWidth="1"/>
    <col min="15884" max="15884" width="5.25" style="3" customWidth="1"/>
    <col min="15885" max="15885" width="4.25" style="3" customWidth="1"/>
    <col min="15886" max="15886" width="5" style="3" customWidth="1"/>
    <col min="15887" max="15887" width="4.875" style="3" customWidth="1"/>
    <col min="15888" max="15888" width="5.75" style="3" customWidth="1"/>
    <col min="15889" max="15889" width="6" style="3" customWidth="1"/>
    <col min="15890" max="15890" width="7.75" style="3" customWidth="1"/>
    <col min="15891" max="15891" width="7.375" style="3" customWidth="1"/>
    <col min="15892" max="15892" width="8.75" style="3" customWidth="1"/>
    <col min="15893" max="15893" width="6.75" style="3" customWidth="1"/>
    <col min="15894" max="15894" width="9.5" style="3" customWidth="1"/>
    <col min="15895" max="15895" width="6.25" style="3" customWidth="1"/>
    <col min="15896" max="15896" width="6" style="3" customWidth="1"/>
    <col min="15897" max="15897" width="8.5" style="3" customWidth="1"/>
    <col min="15898" max="15898" width="8.75" style="3" customWidth="1"/>
    <col min="15899" max="15899" width="6.75" style="3" customWidth="1"/>
    <col min="15900" max="15900" width="9.75" style="3" customWidth="1"/>
    <col min="15901" max="15901" width="7.75" style="3" customWidth="1"/>
    <col min="15902" max="15902" width="7.625" style="3" customWidth="1"/>
    <col min="15903" max="15903" width="8.875" style="3" customWidth="1"/>
    <col min="15904" max="15904" width="9.75" style="3" customWidth="1"/>
    <col min="15905" max="15905" width="6.75" style="3" customWidth="1"/>
    <col min="15906" max="15910" width="9.75" style="3" customWidth="1"/>
    <col min="15911" max="15911" width="6.75" style="3" customWidth="1"/>
    <col min="15912" max="15912" width="11" style="3" customWidth="1"/>
    <col min="15913" max="15913" width="8.5" style="3" customWidth="1"/>
    <col min="15914" max="16129" width="9" style="3"/>
    <col min="16130" max="16130" width="4.375" style="3" customWidth="1"/>
    <col min="16131" max="16131" width="2.25" style="3" customWidth="1"/>
    <col min="16132" max="16134" width="2.375" style="3" customWidth="1"/>
    <col min="16135" max="16135" width="21" style="3" customWidth="1"/>
    <col min="16136" max="16136" width="3.625" style="3" customWidth="1"/>
    <col min="16137" max="16137" width="3.125" style="3" customWidth="1"/>
    <col min="16138" max="16138" width="5.125" style="3" customWidth="1"/>
    <col min="16139" max="16139" width="4.875" style="3" customWidth="1"/>
    <col min="16140" max="16140" width="5.25" style="3" customWidth="1"/>
    <col min="16141" max="16141" width="4.25" style="3" customWidth="1"/>
    <col min="16142" max="16142" width="5" style="3" customWidth="1"/>
    <col min="16143" max="16143" width="4.875" style="3" customWidth="1"/>
    <col min="16144" max="16144" width="5.75" style="3" customWidth="1"/>
    <col min="16145" max="16145" width="6" style="3" customWidth="1"/>
    <col min="16146" max="16146" width="7.75" style="3" customWidth="1"/>
    <col min="16147" max="16147" width="7.375" style="3" customWidth="1"/>
    <col min="16148" max="16148" width="8.75" style="3" customWidth="1"/>
    <col min="16149" max="16149" width="6.75" style="3" customWidth="1"/>
    <col min="16150" max="16150" width="9.5" style="3" customWidth="1"/>
    <col min="16151" max="16151" width="6.25" style="3" customWidth="1"/>
    <col min="16152" max="16152" width="6" style="3" customWidth="1"/>
    <col min="16153" max="16153" width="8.5" style="3" customWidth="1"/>
    <col min="16154" max="16154" width="8.75" style="3" customWidth="1"/>
    <col min="16155" max="16155" width="6.75" style="3" customWidth="1"/>
    <col min="16156" max="16156" width="9.75" style="3" customWidth="1"/>
    <col min="16157" max="16157" width="7.75" style="3" customWidth="1"/>
    <col min="16158" max="16158" width="7.625" style="3" customWidth="1"/>
    <col min="16159" max="16159" width="8.875" style="3" customWidth="1"/>
    <col min="16160" max="16160" width="9.75" style="3" customWidth="1"/>
    <col min="16161" max="16161" width="6.75" style="3" customWidth="1"/>
    <col min="16162" max="16166" width="9.75" style="3" customWidth="1"/>
    <col min="16167" max="16167" width="6.75" style="3" customWidth="1"/>
    <col min="16168" max="16168" width="11" style="3" customWidth="1"/>
    <col min="16169" max="16169" width="8.5" style="3" customWidth="1"/>
    <col min="16170" max="16384" width="9" style="3"/>
  </cols>
  <sheetData>
    <row r="1" spans="1:42">
      <c r="F1" s="7" t="s">
        <v>7</v>
      </c>
    </row>
    <row r="2" spans="1:42">
      <c r="F2" s="7" t="s">
        <v>8</v>
      </c>
    </row>
    <row r="3" spans="1:42">
      <c r="F3" s="7"/>
    </row>
    <row r="4" spans="1:42" ht="16.5" customHeight="1">
      <c r="A4" s="8" t="s">
        <v>9</v>
      </c>
      <c r="F4" s="7"/>
    </row>
    <row r="5" spans="1:42" ht="24.75" customHeight="1">
      <c r="A5" s="22"/>
      <c r="B5" s="23" t="s">
        <v>10</v>
      </c>
      <c r="C5" s="24"/>
      <c r="D5" s="25"/>
      <c r="E5" s="25"/>
      <c r="F5" s="26"/>
      <c r="G5" s="27"/>
      <c r="H5" s="28"/>
      <c r="I5" s="29"/>
      <c r="J5" s="30"/>
      <c r="K5" s="30" t="s">
        <v>11</v>
      </c>
      <c r="L5" s="31" t="s">
        <v>12</v>
      </c>
      <c r="M5" s="32"/>
      <c r="N5" s="321" t="s">
        <v>13</v>
      </c>
      <c r="O5" s="322"/>
      <c r="P5" s="33" t="s">
        <v>14</v>
      </c>
      <c r="Q5" s="34" t="s">
        <v>15</v>
      </c>
      <c r="R5" s="35" t="s">
        <v>16</v>
      </c>
      <c r="S5" s="36" t="s">
        <v>17</v>
      </c>
      <c r="T5" s="37"/>
      <c r="U5" s="323" t="s">
        <v>18</v>
      </c>
      <c r="V5" s="324"/>
      <c r="W5" s="38"/>
      <c r="X5" s="38"/>
      <c r="Y5" s="39"/>
      <c r="Z5" s="39"/>
      <c r="AA5" s="325" t="s">
        <v>19</v>
      </c>
      <c r="AB5" s="326"/>
      <c r="AC5" s="40"/>
      <c r="AD5" s="40"/>
      <c r="AE5" s="40"/>
      <c r="AF5" s="40"/>
      <c r="AG5" s="327" t="s">
        <v>20</v>
      </c>
      <c r="AH5" s="328"/>
      <c r="AI5" s="41"/>
      <c r="AJ5" s="41"/>
      <c r="AK5" s="41"/>
      <c r="AL5" s="41"/>
      <c r="AM5" s="319" t="s">
        <v>21</v>
      </c>
      <c r="AN5" s="320"/>
    </row>
    <row r="6" spans="1:42" ht="23.25" customHeight="1">
      <c r="A6" s="42" t="s">
        <v>22</v>
      </c>
      <c r="B6" s="43" t="s">
        <v>23</v>
      </c>
      <c r="C6" s="44" t="s">
        <v>24</v>
      </c>
      <c r="D6" s="45" t="s">
        <v>25</v>
      </c>
      <c r="E6" s="45"/>
      <c r="F6" s="46" t="s">
        <v>26</v>
      </c>
      <c r="G6" s="47" t="s">
        <v>27</v>
      </c>
      <c r="H6" s="48"/>
      <c r="I6" s="49" t="s">
        <v>28</v>
      </c>
      <c r="J6" s="50" t="s">
        <v>29</v>
      </c>
      <c r="K6" s="50" t="s">
        <v>30</v>
      </c>
      <c r="L6" s="51" t="s">
        <v>30</v>
      </c>
      <c r="M6" s="52"/>
      <c r="N6" s="53" t="s">
        <v>31</v>
      </c>
      <c r="O6" s="54"/>
      <c r="P6" s="55" t="s">
        <v>32</v>
      </c>
      <c r="Q6" s="56" t="s">
        <v>33</v>
      </c>
      <c r="R6" s="57" t="s">
        <v>34</v>
      </c>
      <c r="S6" s="58" t="s">
        <v>35</v>
      </c>
      <c r="T6" s="59" t="s">
        <v>36</v>
      </c>
      <c r="U6" s="317"/>
      <c r="V6" s="318"/>
      <c r="W6" s="60"/>
      <c r="X6" s="61"/>
      <c r="Y6" s="62"/>
      <c r="Z6" s="62"/>
      <c r="AA6" s="319"/>
      <c r="AB6" s="320"/>
      <c r="AC6" s="63"/>
      <c r="AD6" s="63"/>
      <c r="AE6" s="63"/>
      <c r="AF6" s="63"/>
      <c r="AG6" s="319"/>
      <c r="AH6" s="320"/>
      <c r="AI6" s="64"/>
      <c r="AJ6" s="64"/>
      <c r="AK6" s="64"/>
      <c r="AL6" s="64"/>
      <c r="AM6" s="65"/>
      <c r="AN6" s="66"/>
    </row>
    <row r="7" spans="1:42" ht="30" customHeight="1">
      <c r="A7" s="67"/>
      <c r="B7" s="68"/>
      <c r="C7" s="44"/>
      <c r="D7" s="45"/>
      <c r="E7" s="45"/>
      <c r="F7" s="46"/>
      <c r="G7" s="69"/>
      <c r="H7" s="70"/>
      <c r="I7" s="49" t="s">
        <v>37</v>
      </c>
      <c r="J7" s="71"/>
      <c r="K7" s="71"/>
      <c r="L7" s="71"/>
      <c r="M7" s="72">
        <v>2566</v>
      </c>
      <c r="N7" s="72">
        <v>2567</v>
      </c>
      <c r="O7" s="72">
        <v>2568</v>
      </c>
      <c r="P7" s="73" t="s">
        <v>38</v>
      </c>
      <c r="Q7" s="74" t="s">
        <v>39</v>
      </c>
      <c r="R7" s="75" t="s">
        <v>40</v>
      </c>
      <c r="S7" s="76" t="s">
        <v>12</v>
      </c>
      <c r="T7" s="77"/>
      <c r="U7" s="78" t="s">
        <v>41</v>
      </c>
      <c r="V7" s="79" t="s">
        <v>42</v>
      </c>
      <c r="W7" s="80" t="s">
        <v>43</v>
      </c>
      <c r="X7" s="81" t="s">
        <v>44</v>
      </c>
      <c r="Y7" s="82" t="s">
        <v>45</v>
      </c>
      <c r="Z7" s="82" t="s">
        <v>36</v>
      </c>
      <c r="AA7" s="78" t="s">
        <v>41</v>
      </c>
      <c r="AB7" s="79" t="s">
        <v>46</v>
      </c>
      <c r="AC7" s="83" t="s">
        <v>43</v>
      </c>
      <c r="AD7" s="83" t="s">
        <v>44</v>
      </c>
      <c r="AE7" s="83" t="s">
        <v>45</v>
      </c>
      <c r="AF7" s="83" t="s">
        <v>36</v>
      </c>
      <c r="AG7" s="78" t="s">
        <v>41</v>
      </c>
      <c r="AH7" s="79" t="s">
        <v>46</v>
      </c>
      <c r="AI7" s="84" t="s">
        <v>43</v>
      </c>
      <c r="AJ7" s="84" t="s">
        <v>44</v>
      </c>
      <c r="AK7" s="84" t="s">
        <v>45</v>
      </c>
      <c r="AL7" s="84" t="s">
        <v>36</v>
      </c>
      <c r="AM7" s="78" t="s">
        <v>41</v>
      </c>
      <c r="AN7" s="79" t="s">
        <v>46</v>
      </c>
      <c r="AP7" s="3" t="s">
        <v>1747</v>
      </c>
    </row>
    <row r="8" spans="1:42" ht="20.45" customHeight="1">
      <c r="A8" s="85" t="s">
        <v>1101</v>
      </c>
      <c r="B8" s="86">
        <v>252</v>
      </c>
      <c r="C8" s="87" t="s">
        <v>1102</v>
      </c>
      <c r="D8" s="88">
        <v>522432</v>
      </c>
      <c r="E8" s="88" t="s">
        <v>1746</v>
      </c>
      <c r="F8" s="89" t="s">
        <v>1103</v>
      </c>
      <c r="G8" s="90" t="s">
        <v>1104</v>
      </c>
      <c r="H8" s="90"/>
      <c r="I8" s="91">
        <v>1</v>
      </c>
      <c r="J8" s="92" t="s">
        <v>327</v>
      </c>
      <c r="K8" s="93">
        <v>1</v>
      </c>
      <c r="L8" s="93" t="s">
        <v>52</v>
      </c>
      <c r="M8" s="94">
        <v>15</v>
      </c>
      <c r="N8" s="94">
        <v>12</v>
      </c>
      <c r="O8" s="94">
        <v>16</v>
      </c>
      <c r="P8" s="94">
        <v>24</v>
      </c>
      <c r="Q8" s="95">
        <v>0</v>
      </c>
      <c r="R8" s="96">
        <v>25</v>
      </c>
      <c r="S8" s="97">
        <v>68.48</v>
      </c>
      <c r="T8" s="98">
        <f t="shared" ref="T8:T71" si="0">S8*R8</f>
        <v>1712</v>
      </c>
      <c r="U8" s="99">
        <v>5</v>
      </c>
      <c r="V8" s="100">
        <f t="shared" ref="V8:V71" si="1">U8*S8</f>
        <v>342.40000000000003</v>
      </c>
      <c r="W8" s="101">
        <v>5</v>
      </c>
      <c r="X8" s="102" t="s">
        <v>1105</v>
      </c>
      <c r="Y8" s="103">
        <f>304.95/5</f>
        <v>60.989999999999995</v>
      </c>
      <c r="Z8" s="103">
        <f t="shared" ref="Z8:Z13" si="2">Y8*W8</f>
        <v>304.95</v>
      </c>
      <c r="AA8" s="99">
        <v>20</v>
      </c>
      <c r="AB8" s="100">
        <f t="shared" ref="AB8:AB71" si="3">AA8*S8</f>
        <v>1369.6000000000001</v>
      </c>
      <c r="AC8" s="104">
        <v>20</v>
      </c>
      <c r="AD8" s="105" t="s">
        <v>844</v>
      </c>
      <c r="AE8" s="105"/>
      <c r="AF8" s="105">
        <f t="shared" ref="AF8:AF15" si="4">AE8*AC8</f>
        <v>0</v>
      </c>
      <c r="AG8" s="99">
        <v>0</v>
      </c>
      <c r="AH8" s="100">
        <f t="shared" ref="AH8:AH71" si="5">S8*AG8</f>
        <v>0</v>
      </c>
      <c r="AI8" s="106"/>
      <c r="AJ8" s="107"/>
      <c r="AK8" s="107"/>
      <c r="AL8" s="107"/>
      <c r="AM8" s="99">
        <v>0</v>
      </c>
      <c r="AN8" s="100">
        <f t="shared" ref="AN8:AN71" si="6">S8*AM8</f>
        <v>0</v>
      </c>
      <c r="AO8" s="108">
        <f t="shared" ref="AO8:AO71" si="7">U8+AA8+AG8+AM8</f>
        <v>25</v>
      </c>
      <c r="AP8" s="308">
        <f>Z8+AF8+AL8</f>
        <v>304.95</v>
      </c>
    </row>
    <row r="9" spans="1:42" ht="20.45" customHeight="1">
      <c r="A9" s="85" t="s">
        <v>1308</v>
      </c>
      <c r="B9" s="86">
        <v>303</v>
      </c>
      <c r="C9" s="87" t="s">
        <v>1309</v>
      </c>
      <c r="D9" s="88">
        <v>522696</v>
      </c>
      <c r="E9" s="88" t="s">
        <v>1746</v>
      </c>
      <c r="F9" s="89" t="s">
        <v>1310</v>
      </c>
      <c r="G9" s="109" t="s">
        <v>1311</v>
      </c>
      <c r="H9" s="109"/>
      <c r="I9" s="91">
        <v>1</v>
      </c>
      <c r="J9" s="92" t="s">
        <v>327</v>
      </c>
      <c r="K9" s="93">
        <v>1</v>
      </c>
      <c r="L9" s="93" t="s">
        <v>52</v>
      </c>
      <c r="M9" s="94">
        <f>70/10*12</f>
        <v>84</v>
      </c>
      <c r="N9" s="94">
        <f>45/9*12</f>
        <v>60</v>
      </c>
      <c r="O9" s="94">
        <v>26.666666666666668</v>
      </c>
      <c r="P9" s="94">
        <v>30</v>
      </c>
      <c r="Q9" s="95">
        <v>0</v>
      </c>
      <c r="R9" s="112">
        <v>300</v>
      </c>
      <c r="S9" s="97">
        <v>52.01</v>
      </c>
      <c r="T9" s="98">
        <f t="shared" si="0"/>
        <v>15603</v>
      </c>
      <c r="U9" s="99">
        <v>0</v>
      </c>
      <c r="V9" s="100">
        <f t="shared" si="1"/>
        <v>0</v>
      </c>
      <c r="W9" s="101"/>
      <c r="X9" s="102"/>
      <c r="Y9" s="103"/>
      <c r="Z9" s="103">
        <f t="shared" si="2"/>
        <v>0</v>
      </c>
      <c r="AA9" s="99">
        <v>100</v>
      </c>
      <c r="AB9" s="100">
        <f t="shared" si="3"/>
        <v>5201</v>
      </c>
      <c r="AC9" s="104">
        <v>100</v>
      </c>
      <c r="AD9" s="105" t="s">
        <v>74</v>
      </c>
      <c r="AE9" s="105">
        <v>20</v>
      </c>
      <c r="AF9" s="105">
        <f t="shared" si="4"/>
        <v>2000</v>
      </c>
      <c r="AG9" s="99">
        <v>100</v>
      </c>
      <c r="AH9" s="100">
        <f t="shared" si="5"/>
        <v>5201</v>
      </c>
      <c r="AI9" s="106">
        <v>100</v>
      </c>
      <c r="AJ9" s="107" t="s">
        <v>74</v>
      </c>
      <c r="AK9" s="107">
        <v>20</v>
      </c>
      <c r="AL9" s="107">
        <f>AK9*AI9</f>
        <v>2000</v>
      </c>
      <c r="AM9" s="99">
        <v>100</v>
      </c>
      <c r="AN9" s="100">
        <f t="shared" si="6"/>
        <v>5201</v>
      </c>
      <c r="AO9" s="108">
        <f t="shared" si="7"/>
        <v>300</v>
      </c>
      <c r="AP9" s="308">
        <f t="shared" ref="AP9:AP72" si="8">Z9+AF9+AL9</f>
        <v>4000</v>
      </c>
    </row>
    <row r="10" spans="1:42" ht="20.45" customHeight="1">
      <c r="A10" s="85" t="s">
        <v>1503</v>
      </c>
      <c r="B10" s="86">
        <v>355</v>
      </c>
      <c r="C10" s="87">
        <v>655030</v>
      </c>
      <c r="D10" s="88">
        <v>655011</v>
      </c>
      <c r="E10" s="88" t="s">
        <v>1746</v>
      </c>
      <c r="F10" s="117" t="s">
        <v>1504</v>
      </c>
      <c r="G10" s="109" t="s">
        <v>1505</v>
      </c>
      <c r="H10" s="109"/>
      <c r="I10" s="91">
        <v>1</v>
      </c>
      <c r="J10" s="92" t="s">
        <v>327</v>
      </c>
      <c r="K10" s="93">
        <v>1</v>
      </c>
      <c r="L10" s="93" t="s">
        <v>52</v>
      </c>
      <c r="M10" s="211"/>
      <c r="N10" s="211"/>
      <c r="O10" s="211"/>
      <c r="P10" s="94"/>
      <c r="Q10" s="95"/>
      <c r="R10" s="112">
        <v>250</v>
      </c>
      <c r="S10" s="97">
        <v>95.23</v>
      </c>
      <c r="T10" s="98">
        <f t="shared" si="0"/>
        <v>23807.5</v>
      </c>
      <c r="U10" s="99">
        <v>10</v>
      </c>
      <c r="V10" s="100">
        <f t="shared" si="1"/>
        <v>952.30000000000007</v>
      </c>
      <c r="W10" s="101">
        <v>10</v>
      </c>
      <c r="X10" s="102" t="s">
        <v>1105</v>
      </c>
      <c r="Y10" s="103">
        <v>95.23</v>
      </c>
      <c r="Z10" s="103">
        <f t="shared" si="2"/>
        <v>952.30000000000007</v>
      </c>
      <c r="AA10" s="99">
        <v>140</v>
      </c>
      <c r="AB10" s="100">
        <f t="shared" si="3"/>
        <v>13332.2</v>
      </c>
      <c r="AC10" s="104">
        <v>140</v>
      </c>
      <c r="AD10" s="105" t="s">
        <v>197</v>
      </c>
      <c r="AE10" s="105">
        <v>95.23</v>
      </c>
      <c r="AF10" s="105">
        <f t="shared" si="4"/>
        <v>13332.2</v>
      </c>
      <c r="AG10" s="99">
        <v>0</v>
      </c>
      <c r="AH10" s="100">
        <f t="shared" si="5"/>
        <v>0</v>
      </c>
      <c r="AI10" s="106">
        <v>100</v>
      </c>
      <c r="AJ10" s="107" t="s">
        <v>197</v>
      </c>
      <c r="AK10" s="107">
        <v>95.23</v>
      </c>
      <c r="AL10" s="107">
        <f>AK10*AI10</f>
        <v>9523</v>
      </c>
      <c r="AM10" s="99">
        <v>100</v>
      </c>
      <c r="AN10" s="100">
        <f t="shared" si="6"/>
        <v>9523</v>
      </c>
      <c r="AO10" s="108">
        <f t="shared" si="7"/>
        <v>250</v>
      </c>
      <c r="AP10" s="308">
        <f t="shared" si="8"/>
        <v>23807.5</v>
      </c>
    </row>
    <row r="11" spans="1:42" ht="20.45" customHeight="1">
      <c r="A11" s="85" t="s">
        <v>1506</v>
      </c>
      <c r="B11" s="86">
        <v>356</v>
      </c>
      <c r="C11" s="87">
        <v>522829</v>
      </c>
      <c r="D11" s="88">
        <v>522801</v>
      </c>
      <c r="E11" s="88" t="s">
        <v>1746</v>
      </c>
      <c r="F11" s="117" t="s">
        <v>1507</v>
      </c>
      <c r="G11" s="109" t="s">
        <v>1508</v>
      </c>
      <c r="H11" s="109"/>
      <c r="I11" s="91">
        <v>1</v>
      </c>
      <c r="J11" s="92" t="s">
        <v>327</v>
      </c>
      <c r="K11" s="93">
        <v>1</v>
      </c>
      <c r="L11" s="93" t="s">
        <v>52</v>
      </c>
      <c r="M11" s="211"/>
      <c r="N11" s="211"/>
      <c r="O11" s="211"/>
      <c r="P11" s="94"/>
      <c r="Q11" s="95"/>
      <c r="R11" s="112">
        <v>290</v>
      </c>
      <c r="S11" s="97">
        <v>192.6</v>
      </c>
      <c r="T11" s="98">
        <f t="shared" si="0"/>
        <v>55854</v>
      </c>
      <c r="U11" s="99">
        <v>20</v>
      </c>
      <c r="V11" s="100">
        <f t="shared" si="1"/>
        <v>3852</v>
      </c>
      <c r="W11" s="101">
        <v>20</v>
      </c>
      <c r="X11" s="102" t="s">
        <v>1105</v>
      </c>
      <c r="Y11" s="103">
        <f>3852/20</f>
        <v>192.6</v>
      </c>
      <c r="Z11" s="103">
        <f t="shared" si="2"/>
        <v>3852</v>
      </c>
      <c r="AA11" s="99">
        <v>170</v>
      </c>
      <c r="AB11" s="100">
        <f t="shared" si="3"/>
        <v>32742</v>
      </c>
      <c r="AC11" s="104">
        <f>50+20+100</f>
        <v>170</v>
      </c>
      <c r="AD11" s="105" t="s">
        <v>1509</v>
      </c>
      <c r="AE11" s="105">
        <v>192.6</v>
      </c>
      <c r="AF11" s="105">
        <f t="shared" si="4"/>
        <v>32742</v>
      </c>
      <c r="AG11" s="99">
        <v>0</v>
      </c>
      <c r="AH11" s="100">
        <f t="shared" si="5"/>
        <v>0</v>
      </c>
      <c r="AI11" s="106"/>
      <c r="AJ11" s="107"/>
      <c r="AK11" s="107"/>
      <c r="AL11" s="107">
        <f>AK11*AI11</f>
        <v>0</v>
      </c>
      <c r="AM11" s="99">
        <v>100</v>
      </c>
      <c r="AN11" s="100">
        <f t="shared" si="6"/>
        <v>19260</v>
      </c>
      <c r="AO11" s="108">
        <f t="shared" si="7"/>
        <v>290</v>
      </c>
      <c r="AP11" s="308">
        <f t="shared" si="8"/>
        <v>36594</v>
      </c>
    </row>
    <row r="12" spans="1:42" ht="20.45" customHeight="1">
      <c r="A12" s="85" t="s">
        <v>1510</v>
      </c>
      <c r="B12" s="86">
        <v>357</v>
      </c>
      <c r="C12" s="87">
        <v>1001379</v>
      </c>
      <c r="D12" s="88">
        <v>526889</v>
      </c>
      <c r="E12" s="88" t="s">
        <v>1746</v>
      </c>
      <c r="F12" s="117" t="s">
        <v>1511</v>
      </c>
      <c r="G12" s="109" t="s">
        <v>1512</v>
      </c>
      <c r="H12" s="109"/>
      <c r="I12" s="91">
        <v>1</v>
      </c>
      <c r="J12" s="92" t="s">
        <v>327</v>
      </c>
      <c r="K12" s="93">
        <v>1</v>
      </c>
      <c r="L12" s="93" t="s">
        <v>52</v>
      </c>
      <c r="M12" s="211"/>
      <c r="N12" s="211"/>
      <c r="O12" s="211"/>
      <c r="P12" s="94"/>
      <c r="Q12" s="95"/>
      <c r="R12" s="112">
        <v>420</v>
      </c>
      <c r="S12" s="97">
        <v>102</v>
      </c>
      <c r="T12" s="98">
        <f t="shared" si="0"/>
        <v>42840</v>
      </c>
      <c r="U12" s="99">
        <v>20</v>
      </c>
      <c r="V12" s="100">
        <f t="shared" si="1"/>
        <v>2040</v>
      </c>
      <c r="W12" s="101">
        <v>20</v>
      </c>
      <c r="X12" s="102" t="s">
        <v>1105</v>
      </c>
      <c r="Y12" s="103">
        <f>1680/20</f>
        <v>84</v>
      </c>
      <c r="Z12" s="103">
        <f t="shared" si="2"/>
        <v>1680</v>
      </c>
      <c r="AA12" s="99">
        <v>200</v>
      </c>
      <c r="AB12" s="100">
        <f t="shared" si="3"/>
        <v>20400</v>
      </c>
      <c r="AC12" s="104">
        <f>2*100</f>
        <v>200</v>
      </c>
      <c r="AD12" s="105" t="s">
        <v>74</v>
      </c>
      <c r="AE12" s="105">
        <v>76</v>
      </c>
      <c r="AF12" s="105">
        <f t="shared" si="4"/>
        <v>15200</v>
      </c>
      <c r="AG12" s="99">
        <v>100</v>
      </c>
      <c r="AH12" s="100">
        <f t="shared" si="5"/>
        <v>10200</v>
      </c>
      <c r="AI12" s="106">
        <v>100</v>
      </c>
      <c r="AJ12" s="107" t="s">
        <v>74</v>
      </c>
      <c r="AK12" s="107">
        <v>76</v>
      </c>
      <c r="AL12" s="107">
        <f>AK12*AI12</f>
        <v>7600</v>
      </c>
      <c r="AM12" s="99">
        <v>100</v>
      </c>
      <c r="AN12" s="100">
        <f t="shared" si="6"/>
        <v>10200</v>
      </c>
      <c r="AO12" s="108">
        <f t="shared" si="7"/>
        <v>420</v>
      </c>
      <c r="AP12" s="308">
        <f t="shared" si="8"/>
        <v>24480</v>
      </c>
    </row>
    <row r="13" spans="1:42" ht="20.45" customHeight="1">
      <c r="A13" s="85" t="s">
        <v>1516</v>
      </c>
      <c r="B13" s="86">
        <v>359</v>
      </c>
      <c r="C13" s="87">
        <v>780418</v>
      </c>
      <c r="D13" s="88">
        <v>780397</v>
      </c>
      <c r="E13" s="88" t="s">
        <v>1746</v>
      </c>
      <c r="F13" s="117" t="s">
        <v>1517</v>
      </c>
      <c r="G13" s="109" t="s">
        <v>1518</v>
      </c>
      <c r="H13" s="109"/>
      <c r="I13" s="91">
        <v>1</v>
      </c>
      <c r="J13" s="92" t="s">
        <v>327</v>
      </c>
      <c r="K13" s="93">
        <v>1</v>
      </c>
      <c r="L13" s="93" t="s">
        <v>52</v>
      </c>
      <c r="M13" s="138"/>
      <c r="N13" s="138"/>
      <c r="O13" s="138"/>
      <c r="P13" s="94"/>
      <c r="Q13" s="95"/>
      <c r="R13" s="112">
        <v>190</v>
      </c>
      <c r="S13" s="97">
        <v>192.6</v>
      </c>
      <c r="T13" s="98">
        <f t="shared" si="0"/>
        <v>36594</v>
      </c>
      <c r="U13" s="99">
        <v>0</v>
      </c>
      <c r="V13" s="100">
        <f t="shared" si="1"/>
        <v>0</v>
      </c>
      <c r="W13" s="101"/>
      <c r="X13" s="102" t="s">
        <v>1105</v>
      </c>
      <c r="Y13" s="103"/>
      <c r="Z13" s="103">
        <f t="shared" si="2"/>
        <v>0</v>
      </c>
      <c r="AA13" s="99">
        <v>90</v>
      </c>
      <c r="AB13" s="100">
        <f t="shared" si="3"/>
        <v>17334</v>
      </c>
      <c r="AC13" s="104">
        <f>70+20</f>
        <v>90</v>
      </c>
      <c r="AD13" s="105" t="s">
        <v>1509</v>
      </c>
      <c r="AE13" s="105">
        <f>3852/20</f>
        <v>192.6</v>
      </c>
      <c r="AF13" s="105">
        <f t="shared" si="4"/>
        <v>17334</v>
      </c>
      <c r="AG13" s="99">
        <v>50</v>
      </c>
      <c r="AH13" s="100">
        <f t="shared" si="5"/>
        <v>9630</v>
      </c>
      <c r="AI13" s="106">
        <v>50</v>
      </c>
      <c r="AJ13" s="107" t="s">
        <v>203</v>
      </c>
      <c r="AK13" s="107">
        <v>192.6</v>
      </c>
      <c r="AL13" s="107">
        <f>AK13*AI13</f>
        <v>9630</v>
      </c>
      <c r="AM13" s="99">
        <v>50</v>
      </c>
      <c r="AN13" s="100">
        <f t="shared" si="6"/>
        <v>9630</v>
      </c>
      <c r="AO13" s="108">
        <f t="shared" si="7"/>
        <v>190</v>
      </c>
      <c r="AP13" s="308">
        <f t="shared" si="8"/>
        <v>26964</v>
      </c>
    </row>
    <row r="14" spans="1:42" ht="20.45" customHeight="1">
      <c r="A14" s="85" t="s">
        <v>1530</v>
      </c>
      <c r="B14" s="86">
        <v>364</v>
      </c>
      <c r="C14" s="87">
        <v>994972</v>
      </c>
      <c r="D14" s="88">
        <v>700136</v>
      </c>
      <c r="E14" s="88" t="s">
        <v>1746</v>
      </c>
      <c r="F14" s="117" t="s">
        <v>1531</v>
      </c>
      <c r="G14" s="109" t="s">
        <v>1532</v>
      </c>
      <c r="H14" s="109"/>
      <c r="I14" s="91">
        <v>1</v>
      </c>
      <c r="J14" s="91" t="s">
        <v>327</v>
      </c>
      <c r="K14" s="92">
        <v>1</v>
      </c>
      <c r="L14" s="93" t="s">
        <v>52</v>
      </c>
      <c r="M14" s="138"/>
      <c r="N14" s="138"/>
      <c r="O14" s="138"/>
      <c r="P14" s="94"/>
      <c r="Q14" s="95"/>
      <c r="R14" s="112">
        <v>360</v>
      </c>
      <c r="S14" s="97">
        <v>14</v>
      </c>
      <c r="T14" s="98">
        <f t="shared" si="0"/>
        <v>5040</v>
      </c>
      <c r="U14" s="99">
        <v>0</v>
      </c>
      <c r="V14" s="100">
        <f t="shared" si="1"/>
        <v>0</v>
      </c>
      <c r="W14" s="101"/>
      <c r="X14" s="102"/>
      <c r="Y14" s="103"/>
      <c r="Z14" s="103"/>
      <c r="AA14" s="99">
        <v>120</v>
      </c>
      <c r="AB14" s="100">
        <f t="shared" si="3"/>
        <v>1680</v>
      </c>
      <c r="AC14" s="104">
        <v>120</v>
      </c>
      <c r="AD14" s="105" t="s">
        <v>285</v>
      </c>
      <c r="AE14" s="105">
        <v>14</v>
      </c>
      <c r="AF14" s="105">
        <f t="shared" si="4"/>
        <v>1680</v>
      </c>
      <c r="AG14" s="99">
        <v>120</v>
      </c>
      <c r="AH14" s="100">
        <f t="shared" si="5"/>
        <v>1680</v>
      </c>
      <c r="AI14" s="106"/>
      <c r="AJ14" s="107"/>
      <c r="AK14" s="107"/>
      <c r="AL14" s="107"/>
      <c r="AM14" s="99">
        <v>120</v>
      </c>
      <c r="AN14" s="100">
        <f t="shared" si="6"/>
        <v>1680</v>
      </c>
      <c r="AO14" s="108">
        <f t="shared" si="7"/>
        <v>360</v>
      </c>
      <c r="AP14" s="308">
        <f t="shared" si="8"/>
        <v>1680</v>
      </c>
    </row>
    <row r="15" spans="1:42" ht="20.45" customHeight="1">
      <c r="A15" s="85" t="s">
        <v>143</v>
      </c>
      <c r="B15" s="86">
        <v>21</v>
      </c>
      <c r="C15" s="87" t="s">
        <v>144</v>
      </c>
      <c r="D15" s="88">
        <v>234092</v>
      </c>
      <c r="E15" s="88" t="s">
        <v>1744</v>
      </c>
      <c r="F15" s="89" t="s">
        <v>145</v>
      </c>
      <c r="G15" s="109" t="s">
        <v>146</v>
      </c>
      <c r="H15" s="109" t="s">
        <v>110</v>
      </c>
      <c r="I15" s="91">
        <v>1</v>
      </c>
      <c r="J15" s="92" t="s">
        <v>83</v>
      </c>
      <c r="K15" s="93">
        <v>1000</v>
      </c>
      <c r="L15" s="93" t="s">
        <v>84</v>
      </c>
      <c r="M15" s="116">
        <f>144/10*12</f>
        <v>172.8</v>
      </c>
      <c r="N15" s="116">
        <f>147.5/9*12</f>
        <v>196.66666666666669</v>
      </c>
      <c r="O15" s="116">
        <v>228</v>
      </c>
      <c r="P15" s="94">
        <v>228</v>
      </c>
      <c r="Q15" s="95">
        <v>8</v>
      </c>
      <c r="R15" s="96">
        <f>P15-Q15</f>
        <v>220</v>
      </c>
      <c r="S15" s="110">
        <v>600</v>
      </c>
      <c r="T15" s="98">
        <f t="shared" si="0"/>
        <v>132000</v>
      </c>
      <c r="U15" s="99">
        <v>60</v>
      </c>
      <c r="V15" s="100">
        <f t="shared" si="1"/>
        <v>36000</v>
      </c>
      <c r="W15" s="101">
        <v>60</v>
      </c>
      <c r="X15" s="102" t="s">
        <v>147</v>
      </c>
      <c r="Y15" s="103">
        <v>500</v>
      </c>
      <c r="Z15" s="103">
        <f t="shared" ref="Z15:Z48" si="9">Y15*W15</f>
        <v>30000</v>
      </c>
      <c r="AA15" s="99">
        <v>50</v>
      </c>
      <c r="AB15" s="100">
        <f t="shared" si="3"/>
        <v>30000</v>
      </c>
      <c r="AC15" s="104">
        <v>50</v>
      </c>
      <c r="AD15" s="105" t="s">
        <v>147</v>
      </c>
      <c r="AE15" s="105">
        <v>500</v>
      </c>
      <c r="AF15" s="105">
        <f t="shared" si="4"/>
        <v>25000</v>
      </c>
      <c r="AG15" s="99">
        <v>60</v>
      </c>
      <c r="AH15" s="100">
        <f t="shared" si="5"/>
        <v>36000</v>
      </c>
      <c r="AI15" s="106">
        <v>60</v>
      </c>
      <c r="AJ15" s="107" t="s">
        <v>147</v>
      </c>
      <c r="AK15" s="107">
        <v>500</v>
      </c>
      <c r="AL15" s="107">
        <f>AK15*AI15</f>
        <v>30000</v>
      </c>
      <c r="AM15" s="99">
        <v>50</v>
      </c>
      <c r="AN15" s="100">
        <f t="shared" si="6"/>
        <v>30000</v>
      </c>
      <c r="AO15" s="108">
        <f t="shared" si="7"/>
        <v>220</v>
      </c>
      <c r="AP15" s="308">
        <f t="shared" si="8"/>
        <v>85000</v>
      </c>
    </row>
    <row r="16" spans="1:42" ht="20.45" customHeight="1">
      <c r="A16" s="85" t="s">
        <v>148</v>
      </c>
      <c r="B16" s="86">
        <v>22</v>
      </c>
      <c r="C16" s="87" t="s">
        <v>149</v>
      </c>
      <c r="D16" s="88">
        <v>238492</v>
      </c>
      <c r="E16" s="88" t="s">
        <v>1744</v>
      </c>
      <c r="F16" s="89" t="s">
        <v>150</v>
      </c>
      <c r="G16" s="109" t="s">
        <v>151</v>
      </c>
      <c r="H16" s="109"/>
      <c r="I16" s="91">
        <v>1</v>
      </c>
      <c r="J16" s="92" t="s">
        <v>83</v>
      </c>
      <c r="K16" s="93">
        <v>1000</v>
      </c>
      <c r="L16" s="93" t="s">
        <v>84</v>
      </c>
      <c r="M16" s="116">
        <f>8.5/10*12</f>
        <v>10.199999999999999</v>
      </c>
      <c r="N16" s="116">
        <f>3/9*12</f>
        <v>4</v>
      </c>
      <c r="O16" s="116">
        <v>6</v>
      </c>
      <c r="P16" s="94">
        <v>6</v>
      </c>
      <c r="Q16" s="95">
        <v>0</v>
      </c>
      <c r="R16" s="96">
        <f>P16-Q16</f>
        <v>6</v>
      </c>
      <c r="S16" s="97">
        <v>450</v>
      </c>
      <c r="T16" s="98">
        <f t="shared" si="0"/>
        <v>2700</v>
      </c>
      <c r="U16" s="99">
        <v>0</v>
      </c>
      <c r="V16" s="100">
        <f t="shared" si="1"/>
        <v>0</v>
      </c>
      <c r="W16" s="101"/>
      <c r="X16" s="102"/>
      <c r="Y16" s="103"/>
      <c r="Z16" s="103">
        <f t="shared" si="9"/>
        <v>0</v>
      </c>
      <c r="AA16" s="99">
        <v>0</v>
      </c>
      <c r="AB16" s="100">
        <f t="shared" si="3"/>
        <v>0</v>
      </c>
      <c r="AC16" s="104"/>
      <c r="AD16" s="105"/>
      <c r="AE16" s="105"/>
      <c r="AF16" s="105"/>
      <c r="AG16" s="111">
        <v>6</v>
      </c>
      <c r="AH16" s="100">
        <f t="shared" si="5"/>
        <v>2700</v>
      </c>
      <c r="AI16" s="106"/>
      <c r="AJ16" s="107"/>
      <c r="AK16" s="107"/>
      <c r="AL16" s="107"/>
      <c r="AM16" s="99">
        <v>0</v>
      </c>
      <c r="AN16" s="100">
        <f t="shared" si="6"/>
        <v>0</v>
      </c>
      <c r="AO16" s="108">
        <f t="shared" si="7"/>
        <v>6</v>
      </c>
      <c r="AP16" s="308">
        <f t="shared" si="8"/>
        <v>0</v>
      </c>
    </row>
    <row r="17" spans="1:50" ht="20.45" customHeight="1">
      <c r="A17" s="85" t="s">
        <v>165</v>
      </c>
      <c r="B17" s="86">
        <v>26</v>
      </c>
      <c r="C17" s="87" t="s">
        <v>166</v>
      </c>
      <c r="D17" s="88">
        <v>200119</v>
      </c>
      <c r="E17" s="88" t="s">
        <v>1744</v>
      </c>
      <c r="F17" s="89" t="s">
        <v>167</v>
      </c>
      <c r="G17" s="109" t="s">
        <v>168</v>
      </c>
      <c r="H17" s="109" t="s">
        <v>169</v>
      </c>
      <c r="I17" s="91">
        <v>1</v>
      </c>
      <c r="J17" s="92" t="s">
        <v>83</v>
      </c>
      <c r="K17" s="93">
        <v>1000</v>
      </c>
      <c r="L17" s="93" t="s">
        <v>84</v>
      </c>
      <c r="M17" s="116">
        <f>756/10*12</f>
        <v>907.19999999999993</v>
      </c>
      <c r="N17" s="116">
        <f>728/9*12</f>
        <v>970.66666666666663</v>
      </c>
      <c r="O17" s="116">
        <v>940.66666666666663</v>
      </c>
      <c r="P17" s="94">
        <v>980</v>
      </c>
      <c r="Q17" s="95">
        <v>80</v>
      </c>
      <c r="R17" s="96">
        <f>P17-Q17</f>
        <v>900</v>
      </c>
      <c r="S17" s="131">
        <v>700</v>
      </c>
      <c r="T17" s="98">
        <f t="shared" si="0"/>
        <v>630000</v>
      </c>
      <c r="U17" s="99">
        <v>250</v>
      </c>
      <c r="V17" s="100">
        <f t="shared" si="1"/>
        <v>175000</v>
      </c>
      <c r="W17" s="101">
        <v>250</v>
      </c>
      <c r="X17" s="102" t="s">
        <v>110</v>
      </c>
      <c r="Y17" s="103">
        <v>695.5</v>
      </c>
      <c r="Z17" s="103">
        <f t="shared" si="9"/>
        <v>173875</v>
      </c>
      <c r="AA17" s="99">
        <v>200</v>
      </c>
      <c r="AB17" s="100">
        <f t="shared" si="3"/>
        <v>140000</v>
      </c>
      <c r="AC17" s="104">
        <v>200</v>
      </c>
      <c r="AD17" s="105" t="s">
        <v>110</v>
      </c>
      <c r="AE17" s="105">
        <v>695.5</v>
      </c>
      <c r="AF17" s="105">
        <f t="shared" ref="AF17:AF30" si="10">AE17*AC17</f>
        <v>139100</v>
      </c>
      <c r="AG17" s="99">
        <v>250</v>
      </c>
      <c r="AH17" s="100">
        <f t="shared" si="5"/>
        <v>175000</v>
      </c>
      <c r="AI17" s="106"/>
      <c r="AJ17" s="107"/>
      <c r="AK17" s="107"/>
      <c r="AL17" s="107"/>
      <c r="AM17" s="99">
        <v>200</v>
      </c>
      <c r="AN17" s="100">
        <f t="shared" si="6"/>
        <v>140000</v>
      </c>
      <c r="AO17" s="108">
        <f t="shared" si="7"/>
        <v>900</v>
      </c>
      <c r="AP17" s="308">
        <f t="shared" si="8"/>
        <v>312975</v>
      </c>
      <c r="AT17" s="126"/>
      <c r="AU17" s="126"/>
      <c r="AV17" s="126"/>
      <c r="AW17" s="126"/>
      <c r="AX17" s="126"/>
    </row>
    <row r="18" spans="1:50" s="121" customFormat="1" ht="20.45" customHeight="1">
      <c r="A18" s="85" t="s">
        <v>170</v>
      </c>
      <c r="B18" s="86">
        <v>27</v>
      </c>
      <c r="C18" s="87" t="s">
        <v>171</v>
      </c>
      <c r="D18" s="88">
        <v>200142</v>
      </c>
      <c r="E18" s="88" t="s">
        <v>1744</v>
      </c>
      <c r="F18" s="89" t="s">
        <v>172</v>
      </c>
      <c r="G18" s="109" t="s">
        <v>173</v>
      </c>
      <c r="H18" s="109" t="s">
        <v>169</v>
      </c>
      <c r="I18" s="91">
        <v>1</v>
      </c>
      <c r="J18" s="92" t="s">
        <v>83</v>
      </c>
      <c r="K18" s="93">
        <v>1000</v>
      </c>
      <c r="L18" s="93" t="s">
        <v>84</v>
      </c>
      <c r="M18" s="116">
        <f>898/10*12</f>
        <v>1077.5999999999999</v>
      </c>
      <c r="N18" s="116">
        <f>907/9*12</f>
        <v>1209.3333333333333</v>
      </c>
      <c r="O18" s="116">
        <v>1380</v>
      </c>
      <c r="P18" s="94">
        <v>1390</v>
      </c>
      <c r="Q18" s="95">
        <v>90</v>
      </c>
      <c r="R18" s="112">
        <v>1400</v>
      </c>
      <c r="S18" s="131">
        <v>400</v>
      </c>
      <c r="T18" s="98">
        <f t="shared" si="0"/>
        <v>560000</v>
      </c>
      <c r="U18" s="99">
        <v>400</v>
      </c>
      <c r="V18" s="100">
        <f t="shared" si="1"/>
        <v>160000</v>
      </c>
      <c r="W18" s="101">
        <v>400</v>
      </c>
      <c r="X18" s="102" t="s">
        <v>174</v>
      </c>
      <c r="Y18" s="103">
        <v>350</v>
      </c>
      <c r="Z18" s="103">
        <f t="shared" si="9"/>
        <v>140000</v>
      </c>
      <c r="AA18" s="99">
        <v>400</v>
      </c>
      <c r="AB18" s="100">
        <f t="shared" si="3"/>
        <v>160000</v>
      </c>
      <c r="AC18" s="104">
        <v>400</v>
      </c>
      <c r="AD18" s="105" t="s">
        <v>174</v>
      </c>
      <c r="AE18" s="105">
        <v>350</v>
      </c>
      <c r="AF18" s="105">
        <f t="shared" si="10"/>
        <v>140000</v>
      </c>
      <c r="AG18" s="99">
        <v>300</v>
      </c>
      <c r="AH18" s="100">
        <f t="shared" si="5"/>
        <v>120000</v>
      </c>
      <c r="AI18" s="106">
        <v>300</v>
      </c>
      <c r="AJ18" s="107" t="s">
        <v>174</v>
      </c>
      <c r="AK18" s="107">
        <v>350</v>
      </c>
      <c r="AL18" s="107">
        <f>AK18*AI18</f>
        <v>105000</v>
      </c>
      <c r="AM18" s="99">
        <v>300</v>
      </c>
      <c r="AN18" s="100">
        <f t="shared" si="6"/>
        <v>120000</v>
      </c>
      <c r="AO18" s="108">
        <f t="shared" si="7"/>
        <v>1400</v>
      </c>
      <c r="AP18" s="308">
        <f t="shared" si="8"/>
        <v>385000</v>
      </c>
      <c r="AQ18" s="3"/>
      <c r="AR18" s="3"/>
      <c r="AS18" s="3"/>
      <c r="AT18" s="3"/>
      <c r="AU18" s="3"/>
      <c r="AV18" s="3"/>
      <c r="AW18" s="3"/>
      <c r="AX18" s="3"/>
    </row>
    <row r="19" spans="1:50" s="121" customFormat="1" ht="20.45" customHeight="1">
      <c r="A19" s="85" t="s">
        <v>216</v>
      </c>
      <c r="B19" s="86">
        <v>36</v>
      </c>
      <c r="C19" s="87" t="s">
        <v>217</v>
      </c>
      <c r="D19" s="88">
        <v>539549</v>
      </c>
      <c r="E19" s="88" t="s">
        <v>1744</v>
      </c>
      <c r="F19" s="89" t="s">
        <v>218</v>
      </c>
      <c r="G19" s="109" t="s">
        <v>219</v>
      </c>
      <c r="H19" s="109"/>
      <c r="I19" s="91">
        <v>1</v>
      </c>
      <c r="J19" s="92" t="s">
        <v>83</v>
      </c>
      <c r="K19" s="93">
        <v>1000</v>
      </c>
      <c r="L19" s="93" t="s">
        <v>84</v>
      </c>
      <c r="M19" s="116">
        <f>1.5/10*12</f>
        <v>1.7999999999999998</v>
      </c>
      <c r="N19" s="116">
        <f>2.5*12/9</f>
        <v>3.3333333333333335</v>
      </c>
      <c r="O19" s="116">
        <v>2.6666666666666665</v>
      </c>
      <c r="P19" s="94">
        <v>3</v>
      </c>
      <c r="Q19" s="95">
        <v>1</v>
      </c>
      <c r="R19" s="96">
        <f>P19-Q19</f>
        <v>2</v>
      </c>
      <c r="S19" s="97">
        <v>480</v>
      </c>
      <c r="T19" s="98">
        <f t="shared" si="0"/>
        <v>960</v>
      </c>
      <c r="U19" s="99">
        <v>0</v>
      </c>
      <c r="V19" s="100">
        <f t="shared" si="1"/>
        <v>0</v>
      </c>
      <c r="W19" s="101"/>
      <c r="X19" s="102"/>
      <c r="Y19" s="103"/>
      <c r="Z19" s="103">
        <f t="shared" si="9"/>
        <v>0</v>
      </c>
      <c r="AA19" s="99">
        <v>2</v>
      </c>
      <c r="AB19" s="100">
        <f t="shared" si="3"/>
        <v>960</v>
      </c>
      <c r="AC19" s="104">
        <v>2</v>
      </c>
      <c r="AD19" s="105" t="s">
        <v>197</v>
      </c>
      <c r="AE19" s="105">
        <f>2*239.68</f>
        <v>479.36</v>
      </c>
      <c r="AF19" s="105">
        <f t="shared" si="10"/>
        <v>958.72</v>
      </c>
      <c r="AG19" s="99">
        <v>0</v>
      </c>
      <c r="AH19" s="100">
        <f t="shared" si="5"/>
        <v>0</v>
      </c>
      <c r="AI19" s="106"/>
      <c r="AJ19" s="107"/>
      <c r="AK19" s="107"/>
      <c r="AL19" s="107"/>
      <c r="AM19" s="99">
        <v>0</v>
      </c>
      <c r="AN19" s="100">
        <f t="shared" si="6"/>
        <v>0</v>
      </c>
      <c r="AO19" s="108">
        <f t="shared" si="7"/>
        <v>2</v>
      </c>
      <c r="AP19" s="308">
        <f t="shared" si="8"/>
        <v>958.72</v>
      </c>
      <c r="AQ19" s="3"/>
      <c r="AR19" s="3"/>
      <c r="AS19" s="3"/>
      <c r="AT19" s="3"/>
      <c r="AU19" s="3"/>
      <c r="AV19" s="3"/>
      <c r="AW19" s="3"/>
      <c r="AX19" s="3"/>
    </row>
    <row r="20" spans="1:50" ht="20.45" customHeight="1">
      <c r="A20" s="85" t="s">
        <v>220</v>
      </c>
      <c r="B20" s="86">
        <v>37</v>
      </c>
      <c r="C20" s="87" t="s">
        <v>221</v>
      </c>
      <c r="D20" s="88">
        <v>539680</v>
      </c>
      <c r="E20" s="88" t="s">
        <v>1744</v>
      </c>
      <c r="F20" s="89" t="s">
        <v>222</v>
      </c>
      <c r="G20" s="109" t="s">
        <v>223</v>
      </c>
      <c r="H20" s="109"/>
      <c r="I20" s="91">
        <v>1</v>
      </c>
      <c r="J20" s="92" t="s">
        <v>83</v>
      </c>
      <c r="K20" s="93">
        <v>1000</v>
      </c>
      <c r="L20" s="93" t="s">
        <v>84</v>
      </c>
      <c r="M20" s="116">
        <f>516/10*12</f>
        <v>619.20000000000005</v>
      </c>
      <c r="N20" s="116">
        <f>457/9*12</f>
        <v>609.33333333333337</v>
      </c>
      <c r="O20" s="116">
        <v>625.33333333333337</v>
      </c>
      <c r="P20" s="94">
        <v>636</v>
      </c>
      <c r="Q20" s="133">
        <v>76</v>
      </c>
      <c r="R20" s="132">
        <v>600</v>
      </c>
      <c r="S20" s="110">
        <v>150</v>
      </c>
      <c r="T20" s="98">
        <f t="shared" si="0"/>
        <v>90000</v>
      </c>
      <c r="U20" s="99">
        <v>200</v>
      </c>
      <c r="V20" s="100">
        <f t="shared" si="1"/>
        <v>30000</v>
      </c>
      <c r="W20" s="101">
        <v>200</v>
      </c>
      <c r="X20" s="102" t="s">
        <v>197</v>
      </c>
      <c r="Y20" s="103">
        <v>141.24</v>
      </c>
      <c r="Z20" s="103">
        <f t="shared" si="9"/>
        <v>28248</v>
      </c>
      <c r="AA20" s="99">
        <v>200</v>
      </c>
      <c r="AB20" s="100">
        <f t="shared" si="3"/>
        <v>30000</v>
      </c>
      <c r="AC20" s="104">
        <v>200</v>
      </c>
      <c r="AD20" s="105" t="s">
        <v>197</v>
      </c>
      <c r="AE20" s="105">
        <v>141.24</v>
      </c>
      <c r="AF20" s="105">
        <f t="shared" si="10"/>
        <v>28248</v>
      </c>
      <c r="AG20" s="99">
        <v>200</v>
      </c>
      <c r="AH20" s="100">
        <f t="shared" si="5"/>
        <v>30000</v>
      </c>
      <c r="AI20" s="106"/>
      <c r="AJ20" s="107"/>
      <c r="AK20" s="107"/>
      <c r="AL20" s="107"/>
      <c r="AM20" s="99">
        <v>0</v>
      </c>
      <c r="AN20" s="100">
        <f t="shared" si="6"/>
        <v>0</v>
      </c>
      <c r="AO20" s="108">
        <f t="shared" si="7"/>
        <v>600</v>
      </c>
      <c r="AP20" s="308">
        <f t="shared" si="8"/>
        <v>56496</v>
      </c>
    </row>
    <row r="21" spans="1:50" ht="20.45" customHeight="1">
      <c r="A21" s="85" t="s">
        <v>224</v>
      </c>
      <c r="B21" s="86">
        <v>38</v>
      </c>
      <c r="C21" s="87" t="s">
        <v>225</v>
      </c>
      <c r="D21" s="88">
        <v>840347</v>
      </c>
      <c r="E21" s="88" t="s">
        <v>1744</v>
      </c>
      <c r="F21" s="89" t="s">
        <v>226</v>
      </c>
      <c r="G21" s="109" t="s">
        <v>227</v>
      </c>
      <c r="H21" s="109"/>
      <c r="I21" s="91">
        <v>1</v>
      </c>
      <c r="J21" s="92" t="s">
        <v>83</v>
      </c>
      <c r="K21" s="93">
        <v>1000</v>
      </c>
      <c r="L21" s="93" t="s">
        <v>84</v>
      </c>
      <c r="M21" s="116">
        <f>142.1/10*12</f>
        <v>170.51999999999998</v>
      </c>
      <c r="N21" s="116">
        <f>126.2/9*12</f>
        <v>168.26666666666665</v>
      </c>
      <c r="O21" s="116">
        <v>160.53333333333336</v>
      </c>
      <c r="P21" s="94">
        <v>168</v>
      </c>
      <c r="Q21" s="95">
        <v>18</v>
      </c>
      <c r="R21" s="96">
        <f>P21-Q21</f>
        <v>150</v>
      </c>
      <c r="S21" s="110">
        <v>200</v>
      </c>
      <c r="T21" s="98">
        <f t="shared" si="0"/>
        <v>30000</v>
      </c>
      <c r="U21" s="99">
        <v>40</v>
      </c>
      <c r="V21" s="100">
        <f t="shared" si="1"/>
        <v>8000</v>
      </c>
      <c r="W21" s="101">
        <v>40</v>
      </c>
      <c r="X21" s="102" t="s">
        <v>228</v>
      </c>
      <c r="Y21" s="103">
        <v>158</v>
      </c>
      <c r="Z21" s="103">
        <f t="shared" si="9"/>
        <v>6320</v>
      </c>
      <c r="AA21" s="99">
        <v>40</v>
      </c>
      <c r="AB21" s="100">
        <f t="shared" si="3"/>
        <v>8000</v>
      </c>
      <c r="AC21" s="104">
        <v>40</v>
      </c>
      <c r="AD21" s="105" t="s">
        <v>228</v>
      </c>
      <c r="AE21" s="105">
        <v>158</v>
      </c>
      <c r="AF21" s="105">
        <f t="shared" si="10"/>
        <v>6320</v>
      </c>
      <c r="AG21" s="99">
        <v>40</v>
      </c>
      <c r="AH21" s="100">
        <f t="shared" si="5"/>
        <v>8000</v>
      </c>
      <c r="AI21" s="106">
        <v>40</v>
      </c>
      <c r="AJ21" s="107" t="s">
        <v>228</v>
      </c>
      <c r="AK21" s="107">
        <v>158</v>
      </c>
      <c r="AL21" s="107">
        <f>AK21*AI21</f>
        <v>6320</v>
      </c>
      <c r="AM21" s="99">
        <v>30</v>
      </c>
      <c r="AN21" s="100">
        <f t="shared" si="6"/>
        <v>6000</v>
      </c>
      <c r="AO21" s="108">
        <f t="shared" si="7"/>
        <v>150</v>
      </c>
      <c r="AP21" s="308">
        <f t="shared" si="8"/>
        <v>18960</v>
      </c>
    </row>
    <row r="22" spans="1:50" s="126" customFormat="1" ht="20.45" customHeight="1">
      <c r="A22" s="85" t="s">
        <v>229</v>
      </c>
      <c r="B22" s="86">
        <v>39</v>
      </c>
      <c r="C22" s="87">
        <v>1212261</v>
      </c>
      <c r="D22" s="88">
        <v>693923</v>
      </c>
      <c r="E22" s="88" t="s">
        <v>1744</v>
      </c>
      <c r="F22" s="117" t="s">
        <v>230</v>
      </c>
      <c r="G22" s="109" t="s">
        <v>231</v>
      </c>
      <c r="H22" s="109" t="s">
        <v>169</v>
      </c>
      <c r="I22" s="91">
        <v>1</v>
      </c>
      <c r="J22" s="92" t="s">
        <v>83</v>
      </c>
      <c r="K22" s="93">
        <v>100</v>
      </c>
      <c r="L22" s="93" t="s">
        <v>84</v>
      </c>
      <c r="M22" s="116">
        <f>60/5*12</f>
        <v>144</v>
      </c>
      <c r="N22" s="116">
        <f>486/9*12</f>
        <v>648</v>
      </c>
      <c r="O22" s="116">
        <v>140.61333333333334</v>
      </c>
      <c r="P22" s="94">
        <v>1360</v>
      </c>
      <c r="Q22" s="95">
        <v>360</v>
      </c>
      <c r="R22" s="132">
        <v>2400</v>
      </c>
      <c r="S22" s="131">
        <v>140</v>
      </c>
      <c r="T22" s="98">
        <f t="shared" si="0"/>
        <v>336000</v>
      </c>
      <c r="U22" s="99">
        <v>750</v>
      </c>
      <c r="V22" s="100">
        <f t="shared" si="1"/>
        <v>105000</v>
      </c>
      <c r="W22" s="101">
        <f>3*250</f>
        <v>750</v>
      </c>
      <c r="X22" s="102" t="s">
        <v>232</v>
      </c>
      <c r="Y22" s="103">
        <v>115</v>
      </c>
      <c r="Z22" s="103">
        <f t="shared" si="9"/>
        <v>86250</v>
      </c>
      <c r="AA22" s="99">
        <v>550</v>
      </c>
      <c r="AB22" s="100">
        <f t="shared" si="3"/>
        <v>77000</v>
      </c>
      <c r="AC22" s="104">
        <f>300+250</f>
        <v>550</v>
      </c>
      <c r="AD22" s="105" t="s">
        <v>232</v>
      </c>
      <c r="AE22" s="105">
        <v>115</v>
      </c>
      <c r="AF22" s="105">
        <f t="shared" si="10"/>
        <v>63250</v>
      </c>
      <c r="AG22" s="99">
        <v>550</v>
      </c>
      <c r="AH22" s="100">
        <f t="shared" si="5"/>
        <v>77000</v>
      </c>
      <c r="AI22" s="106">
        <v>250</v>
      </c>
      <c r="AJ22" s="107" t="s">
        <v>232</v>
      </c>
      <c r="AK22" s="107">
        <v>115</v>
      </c>
      <c r="AL22" s="107">
        <f>AK22*AI22</f>
        <v>28750</v>
      </c>
      <c r="AM22" s="99">
        <v>550</v>
      </c>
      <c r="AN22" s="100">
        <f t="shared" si="6"/>
        <v>77000</v>
      </c>
      <c r="AO22" s="108">
        <f t="shared" si="7"/>
        <v>2400</v>
      </c>
      <c r="AP22" s="308">
        <f t="shared" si="8"/>
        <v>178250</v>
      </c>
      <c r="AQ22" s="3"/>
      <c r="AR22" s="3"/>
      <c r="AS22" s="3"/>
      <c r="AT22" s="3"/>
      <c r="AU22" s="3"/>
      <c r="AV22" s="3"/>
      <c r="AW22" s="3"/>
      <c r="AX22" s="3"/>
    </row>
    <row r="23" spans="1:50" s="126" customFormat="1" ht="20.45" customHeight="1">
      <c r="A23" s="85" t="s">
        <v>268</v>
      </c>
      <c r="B23" s="86">
        <v>48</v>
      </c>
      <c r="C23" s="87" t="s">
        <v>269</v>
      </c>
      <c r="D23" s="88">
        <v>664437</v>
      </c>
      <c r="E23" s="88" t="s">
        <v>1744</v>
      </c>
      <c r="F23" s="89" t="s">
        <v>270</v>
      </c>
      <c r="G23" s="109" t="s">
        <v>271</v>
      </c>
      <c r="H23" s="109"/>
      <c r="I23" s="91">
        <v>1</v>
      </c>
      <c r="J23" s="92" t="s">
        <v>272</v>
      </c>
      <c r="K23" s="93">
        <v>1</v>
      </c>
      <c r="L23" s="93" t="s">
        <v>52</v>
      </c>
      <c r="M23" s="116">
        <f>1130/10*12</f>
        <v>1356</v>
      </c>
      <c r="N23" s="116">
        <f>800/9*12</f>
        <v>1066.6666666666665</v>
      </c>
      <c r="O23" s="116">
        <v>1146.6666666666667</v>
      </c>
      <c r="P23" s="94">
        <v>1180</v>
      </c>
      <c r="Q23" s="95">
        <v>80</v>
      </c>
      <c r="R23" s="96">
        <f>P23-Q23</f>
        <v>1100</v>
      </c>
      <c r="S23" s="97">
        <v>87.63</v>
      </c>
      <c r="T23" s="98">
        <f t="shared" si="0"/>
        <v>96393</v>
      </c>
      <c r="U23" s="99">
        <v>300</v>
      </c>
      <c r="V23" s="100">
        <f t="shared" si="1"/>
        <v>26289</v>
      </c>
      <c r="W23" s="101">
        <v>300</v>
      </c>
      <c r="X23" s="102" t="s">
        <v>240</v>
      </c>
      <c r="Y23" s="103">
        <v>69.55</v>
      </c>
      <c r="Z23" s="103">
        <f t="shared" si="9"/>
        <v>20865</v>
      </c>
      <c r="AA23" s="99">
        <v>300</v>
      </c>
      <c r="AB23" s="100">
        <f t="shared" si="3"/>
        <v>26289</v>
      </c>
      <c r="AC23" s="104">
        <v>300</v>
      </c>
      <c r="AD23" s="105" t="s">
        <v>240</v>
      </c>
      <c r="AE23" s="105">
        <v>69.55</v>
      </c>
      <c r="AF23" s="105">
        <f t="shared" si="10"/>
        <v>20865</v>
      </c>
      <c r="AG23" s="99">
        <v>300</v>
      </c>
      <c r="AH23" s="100">
        <f t="shared" si="5"/>
        <v>26289</v>
      </c>
      <c r="AI23" s="106">
        <v>300</v>
      </c>
      <c r="AJ23" s="107" t="s">
        <v>240</v>
      </c>
      <c r="AK23" s="107">
        <v>69.55</v>
      </c>
      <c r="AL23" s="107">
        <f>AK23*AI23</f>
        <v>20865</v>
      </c>
      <c r="AM23" s="99">
        <v>200</v>
      </c>
      <c r="AN23" s="100">
        <f t="shared" si="6"/>
        <v>17526</v>
      </c>
      <c r="AO23" s="108">
        <f t="shared" si="7"/>
        <v>1100</v>
      </c>
      <c r="AP23" s="308">
        <f t="shared" si="8"/>
        <v>62595</v>
      </c>
      <c r="AQ23" s="3"/>
      <c r="AR23" s="3"/>
      <c r="AS23" s="3"/>
      <c r="AT23" s="3"/>
      <c r="AU23" s="3"/>
      <c r="AV23" s="3"/>
      <c r="AW23" s="3"/>
      <c r="AX23" s="3"/>
    </row>
    <row r="24" spans="1:50" s="126" customFormat="1" ht="20.45" customHeight="1">
      <c r="A24" s="85" t="s">
        <v>281</v>
      </c>
      <c r="B24" s="86">
        <v>51</v>
      </c>
      <c r="C24" s="87" t="s">
        <v>282</v>
      </c>
      <c r="D24" s="88">
        <v>737737</v>
      </c>
      <c r="E24" s="88" t="s">
        <v>1744</v>
      </c>
      <c r="F24" s="89" t="s">
        <v>283</v>
      </c>
      <c r="G24" s="113" t="s">
        <v>284</v>
      </c>
      <c r="H24" s="113"/>
      <c r="I24" s="114">
        <v>1</v>
      </c>
      <c r="J24" s="118" t="s">
        <v>83</v>
      </c>
      <c r="K24" s="115">
        <v>1000</v>
      </c>
      <c r="L24" s="115" t="s">
        <v>84</v>
      </c>
      <c r="M24" s="116">
        <f>314/10*12</f>
        <v>376.79999999999995</v>
      </c>
      <c r="N24" s="116">
        <f>321.2/9*12</f>
        <v>428.26666666666665</v>
      </c>
      <c r="O24" s="116">
        <v>488</v>
      </c>
      <c r="P24" s="94">
        <v>488</v>
      </c>
      <c r="Q24" s="95">
        <v>18</v>
      </c>
      <c r="R24" s="96">
        <f>P24-Q24</f>
        <v>470</v>
      </c>
      <c r="S24" s="137">
        <v>500</v>
      </c>
      <c r="T24" s="98">
        <f t="shared" si="0"/>
        <v>235000</v>
      </c>
      <c r="U24" s="138">
        <v>140</v>
      </c>
      <c r="V24" s="100">
        <f t="shared" si="1"/>
        <v>70000</v>
      </c>
      <c r="W24" s="101">
        <f>50+90</f>
        <v>140</v>
      </c>
      <c r="X24" s="102" t="s">
        <v>285</v>
      </c>
      <c r="Y24" s="103">
        <v>406.6</v>
      </c>
      <c r="Z24" s="103">
        <f t="shared" si="9"/>
        <v>56924</v>
      </c>
      <c r="AA24" s="138">
        <v>100</v>
      </c>
      <c r="AB24" s="100">
        <f t="shared" si="3"/>
        <v>50000</v>
      </c>
      <c r="AC24" s="104">
        <v>100</v>
      </c>
      <c r="AD24" s="105" t="s">
        <v>285</v>
      </c>
      <c r="AE24" s="105">
        <v>406.6</v>
      </c>
      <c r="AF24" s="105">
        <f t="shared" si="10"/>
        <v>40660</v>
      </c>
      <c r="AG24" s="138">
        <v>130</v>
      </c>
      <c r="AH24" s="100">
        <f t="shared" si="5"/>
        <v>65000</v>
      </c>
      <c r="AI24" s="106">
        <v>130</v>
      </c>
      <c r="AJ24" s="107" t="s">
        <v>285</v>
      </c>
      <c r="AK24" s="107">
        <v>406.6</v>
      </c>
      <c r="AL24" s="107">
        <f>AK24*AI24</f>
        <v>52858</v>
      </c>
      <c r="AM24" s="138">
        <v>100</v>
      </c>
      <c r="AN24" s="100">
        <f t="shared" si="6"/>
        <v>50000</v>
      </c>
      <c r="AO24" s="108">
        <f t="shared" si="7"/>
        <v>470</v>
      </c>
      <c r="AP24" s="308">
        <f t="shared" si="8"/>
        <v>150442</v>
      </c>
      <c r="AQ24" s="3"/>
      <c r="AR24" s="3"/>
      <c r="AS24" s="3"/>
      <c r="AT24" s="3"/>
      <c r="AU24" s="3"/>
      <c r="AV24" s="3"/>
      <c r="AW24" s="3"/>
      <c r="AX24" s="3"/>
    </row>
    <row r="25" spans="1:50" s="126" customFormat="1" ht="20.45" customHeight="1">
      <c r="A25" s="85" t="s">
        <v>302</v>
      </c>
      <c r="B25" s="86">
        <v>56</v>
      </c>
      <c r="C25" s="87">
        <v>272288</v>
      </c>
      <c r="D25" s="88">
        <v>272261</v>
      </c>
      <c r="E25" s="88" t="s">
        <v>1744</v>
      </c>
      <c r="F25" s="117" t="s">
        <v>303</v>
      </c>
      <c r="G25" s="109" t="s">
        <v>304</v>
      </c>
      <c r="H25" s="113" t="s">
        <v>305</v>
      </c>
      <c r="I25" s="91">
        <v>1</v>
      </c>
      <c r="J25" s="92" t="s">
        <v>83</v>
      </c>
      <c r="K25" s="93">
        <v>100</v>
      </c>
      <c r="L25" s="93" t="s">
        <v>84</v>
      </c>
      <c r="M25" s="116">
        <f>175*10/12</f>
        <v>145.83333333333334</v>
      </c>
      <c r="N25" s="116">
        <f>189/9*12</f>
        <v>252</v>
      </c>
      <c r="O25" s="116">
        <v>305.33333333333331</v>
      </c>
      <c r="P25" s="94">
        <v>316</v>
      </c>
      <c r="Q25" s="95">
        <v>66</v>
      </c>
      <c r="R25" s="132">
        <v>310</v>
      </c>
      <c r="S25" s="137">
        <v>192.6</v>
      </c>
      <c r="T25" s="98">
        <f t="shared" si="0"/>
        <v>59706</v>
      </c>
      <c r="U25" s="139">
        <v>70</v>
      </c>
      <c r="V25" s="100">
        <f t="shared" si="1"/>
        <v>13482</v>
      </c>
      <c r="W25" s="101">
        <v>70</v>
      </c>
      <c r="X25" s="102" t="s">
        <v>110</v>
      </c>
      <c r="Y25" s="103">
        <v>192.6</v>
      </c>
      <c r="Z25" s="103">
        <f t="shared" si="9"/>
        <v>13482</v>
      </c>
      <c r="AA25" s="99">
        <v>120</v>
      </c>
      <c r="AB25" s="100">
        <f t="shared" si="3"/>
        <v>23112</v>
      </c>
      <c r="AC25" s="104">
        <f>2*60</f>
        <v>120</v>
      </c>
      <c r="AD25" s="105" t="s">
        <v>110</v>
      </c>
      <c r="AE25" s="105">
        <v>192.6</v>
      </c>
      <c r="AF25" s="105">
        <f t="shared" si="10"/>
        <v>23112</v>
      </c>
      <c r="AG25" s="99">
        <v>60</v>
      </c>
      <c r="AH25" s="100">
        <f t="shared" si="5"/>
        <v>11556</v>
      </c>
      <c r="AI25" s="106">
        <v>60</v>
      </c>
      <c r="AJ25" s="107" t="s">
        <v>110</v>
      </c>
      <c r="AK25" s="107">
        <v>192.6</v>
      </c>
      <c r="AL25" s="107">
        <f>AK25*AI25</f>
        <v>11556</v>
      </c>
      <c r="AM25" s="99">
        <v>60</v>
      </c>
      <c r="AN25" s="100">
        <f t="shared" si="6"/>
        <v>11556</v>
      </c>
      <c r="AO25" s="108">
        <f t="shared" si="7"/>
        <v>310</v>
      </c>
      <c r="AP25" s="308">
        <f t="shared" si="8"/>
        <v>48150</v>
      </c>
      <c r="AQ25" s="3"/>
      <c r="AR25" s="3"/>
      <c r="AS25" s="3"/>
      <c r="AT25" s="3"/>
      <c r="AU25" s="3"/>
      <c r="AV25" s="3"/>
      <c r="AW25" s="3"/>
      <c r="AX25" s="3"/>
    </row>
    <row r="26" spans="1:50" s="126" customFormat="1" ht="20.45" customHeight="1">
      <c r="A26" s="85" t="s">
        <v>371</v>
      </c>
      <c r="B26" s="86">
        <v>72</v>
      </c>
      <c r="C26" s="87" t="s">
        <v>372</v>
      </c>
      <c r="D26" s="88">
        <v>201812</v>
      </c>
      <c r="E26" s="88" t="s">
        <v>1744</v>
      </c>
      <c r="F26" s="89" t="s">
        <v>373</v>
      </c>
      <c r="G26" s="109" t="s">
        <v>374</v>
      </c>
      <c r="H26" s="109" t="s">
        <v>305</v>
      </c>
      <c r="I26" s="91">
        <v>1</v>
      </c>
      <c r="J26" s="92" t="s">
        <v>83</v>
      </c>
      <c r="K26" s="93">
        <v>1000</v>
      </c>
      <c r="L26" s="93" t="s">
        <v>84</v>
      </c>
      <c r="M26" s="116">
        <f>14.5/10*12</f>
        <v>17.399999999999999</v>
      </c>
      <c r="N26" s="116">
        <f>14.9/9*12</f>
        <v>19.866666666666667</v>
      </c>
      <c r="O26" s="116">
        <v>25.333333333333332</v>
      </c>
      <c r="P26" s="94">
        <v>24</v>
      </c>
      <c r="Q26" s="95">
        <v>4</v>
      </c>
      <c r="R26" s="132">
        <v>40</v>
      </c>
      <c r="S26" s="125">
        <v>3000</v>
      </c>
      <c r="T26" s="98">
        <f t="shared" si="0"/>
        <v>120000</v>
      </c>
      <c r="U26" s="99">
        <v>10</v>
      </c>
      <c r="V26" s="100">
        <f t="shared" si="1"/>
        <v>30000</v>
      </c>
      <c r="W26" s="101">
        <f>2*5</f>
        <v>10</v>
      </c>
      <c r="X26" s="102" t="s">
        <v>110</v>
      </c>
      <c r="Y26" s="127">
        <v>3000</v>
      </c>
      <c r="Z26" s="103">
        <f t="shared" si="9"/>
        <v>30000</v>
      </c>
      <c r="AA26" s="99">
        <v>10</v>
      </c>
      <c r="AB26" s="100">
        <f t="shared" si="3"/>
        <v>30000</v>
      </c>
      <c r="AC26" s="104">
        <v>10</v>
      </c>
      <c r="AD26" s="105" t="s">
        <v>110</v>
      </c>
      <c r="AE26" s="105">
        <v>3000</v>
      </c>
      <c r="AF26" s="105">
        <f t="shared" si="10"/>
        <v>30000</v>
      </c>
      <c r="AG26" s="99">
        <v>10</v>
      </c>
      <c r="AH26" s="100">
        <f t="shared" si="5"/>
        <v>30000</v>
      </c>
      <c r="AI26" s="106"/>
      <c r="AJ26" s="107"/>
      <c r="AK26" s="107"/>
      <c r="AL26" s="107"/>
      <c r="AM26" s="99">
        <v>10</v>
      </c>
      <c r="AN26" s="100">
        <f t="shared" si="6"/>
        <v>30000</v>
      </c>
      <c r="AO26" s="108">
        <f t="shared" si="7"/>
        <v>40</v>
      </c>
      <c r="AP26" s="308">
        <f t="shared" si="8"/>
        <v>60000</v>
      </c>
      <c r="AQ26" s="3"/>
      <c r="AR26" s="3"/>
      <c r="AS26" s="3"/>
      <c r="AT26" s="3"/>
      <c r="AU26" s="3"/>
      <c r="AV26" s="3"/>
      <c r="AW26" s="3"/>
      <c r="AX26" s="3"/>
    </row>
    <row r="27" spans="1:50" ht="20.45" customHeight="1">
      <c r="A27" s="85" t="s">
        <v>407</v>
      </c>
      <c r="B27" s="86">
        <v>81</v>
      </c>
      <c r="C27" s="87" t="s">
        <v>408</v>
      </c>
      <c r="D27" s="88">
        <v>279296</v>
      </c>
      <c r="E27" s="88" t="s">
        <v>1744</v>
      </c>
      <c r="F27" s="89" t="s">
        <v>409</v>
      </c>
      <c r="G27" s="109" t="s">
        <v>410</v>
      </c>
      <c r="H27" s="109"/>
      <c r="I27" s="91">
        <v>1</v>
      </c>
      <c r="J27" s="92" t="s">
        <v>83</v>
      </c>
      <c r="K27" s="93">
        <v>1000</v>
      </c>
      <c r="L27" s="93" t="s">
        <v>84</v>
      </c>
      <c r="M27" s="116">
        <f>110/10*12</f>
        <v>132</v>
      </c>
      <c r="N27" s="116">
        <f>114/9*12</f>
        <v>152</v>
      </c>
      <c r="O27" s="116">
        <v>162</v>
      </c>
      <c r="P27" s="94">
        <v>170</v>
      </c>
      <c r="Q27" s="95">
        <v>0</v>
      </c>
      <c r="R27" s="96">
        <f>P27-Q27</f>
        <v>170</v>
      </c>
      <c r="S27" s="131">
        <v>320</v>
      </c>
      <c r="T27" s="98">
        <f t="shared" si="0"/>
        <v>54400</v>
      </c>
      <c r="U27" s="99">
        <v>50</v>
      </c>
      <c r="V27" s="100">
        <f t="shared" si="1"/>
        <v>16000</v>
      </c>
      <c r="W27" s="101">
        <v>50</v>
      </c>
      <c r="X27" s="102" t="s">
        <v>249</v>
      </c>
      <c r="Y27" s="103">
        <f>2*126</f>
        <v>252</v>
      </c>
      <c r="Z27" s="103">
        <f t="shared" si="9"/>
        <v>12600</v>
      </c>
      <c r="AA27" s="99">
        <v>40</v>
      </c>
      <c r="AB27" s="100">
        <f t="shared" si="3"/>
        <v>12800</v>
      </c>
      <c r="AC27" s="104">
        <v>40</v>
      </c>
      <c r="AD27" s="105" t="s">
        <v>249</v>
      </c>
      <c r="AE27" s="105">
        <v>252</v>
      </c>
      <c r="AF27" s="105">
        <f t="shared" si="10"/>
        <v>10080</v>
      </c>
      <c r="AG27" s="99">
        <v>40</v>
      </c>
      <c r="AH27" s="100">
        <f t="shared" si="5"/>
        <v>12800</v>
      </c>
      <c r="AI27" s="106"/>
      <c r="AJ27" s="107"/>
      <c r="AK27" s="107"/>
      <c r="AL27" s="107"/>
      <c r="AM27" s="99">
        <v>40</v>
      </c>
      <c r="AN27" s="100">
        <f t="shared" si="6"/>
        <v>12800</v>
      </c>
      <c r="AO27" s="108">
        <f t="shared" si="7"/>
        <v>170</v>
      </c>
      <c r="AP27" s="308">
        <f t="shared" si="8"/>
        <v>22680</v>
      </c>
    </row>
    <row r="28" spans="1:50" ht="20.45" customHeight="1">
      <c r="A28" s="85" t="s">
        <v>555</v>
      </c>
      <c r="B28" s="86">
        <v>117</v>
      </c>
      <c r="C28" s="87" t="s">
        <v>556</v>
      </c>
      <c r="D28" s="88">
        <v>746444</v>
      </c>
      <c r="E28" s="88" t="s">
        <v>1744</v>
      </c>
      <c r="F28" s="89" t="s">
        <v>557</v>
      </c>
      <c r="G28" s="109" t="s">
        <v>558</v>
      </c>
      <c r="H28" s="109"/>
      <c r="I28" s="91">
        <v>1</v>
      </c>
      <c r="J28" s="92" t="s">
        <v>83</v>
      </c>
      <c r="K28" s="93">
        <v>1000</v>
      </c>
      <c r="L28" s="93" t="s">
        <v>84</v>
      </c>
      <c r="M28" s="116">
        <f>142/10*12</f>
        <v>170.39999999999998</v>
      </c>
      <c r="N28" s="116">
        <f>125/9*12</f>
        <v>166.66666666666669</v>
      </c>
      <c r="O28" s="116">
        <v>205.33333333333334</v>
      </c>
      <c r="P28" s="94">
        <v>219</v>
      </c>
      <c r="Q28" s="95">
        <v>19</v>
      </c>
      <c r="R28" s="112">
        <v>220</v>
      </c>
      <c r="S28" s="152">
        <v>350</v>
      </c>
      <c r="T28" s="98">
        <f t="shared" si="0"/>
        <v>77000</v>
      </c>
      <c r="U28" s="99">
        <v>80</v>
      </c>
      <c r="V28" s="100">
        <f t="shared" si="1"/>
        <v>28000</v>
      </c>
      <c r="W28" s="101">
        <f>2*40</f>
        <v>80</v>
      </c>
      <c r="X28" s="102" t="s">
        <v>174</v>
      </c>
      <c r="Y28" s="103">
        <v>320</v>
      </c>
      <c r="Z28" s="103">
        <f t="shared" si="9"/>
        <v>25600</v>
      </c>
      <c r="AA28" s="99">
        <v>40</v>
      </c>
      <c r="AB28" s="100">
        <f t="shared" si="3"/>
        <v>14000</v>
      </c>
      <c r="AC28" s="104">
        <v>40</v>
      </c>
      <c r="AD28" s="105" t="s">
        <v>174</v>
      </c>
      <c r="AE28" s="105">
        <v>320</v>
      </c>
      <c r="AF28" s="105">
        <f t="shared" si="10"/>
        <v>12800</v>
      </c>
      <c r="AG28" s="99">
        <v>50</v>
      </c>
      <c r="AH28" s="100">
        <f t="shared" si="5"/>
        <v>17500</v>
      </c>
      <c r="AI28" s="106">
        <v>40</v>
      </c>
      <c r="AJ28" s="107" t="s">
        <v>174</v>
      </c>
      <c r="AK28" s="107">
        <v>320</v>
      </c>
      <c r="AL28" s="107">
        <f>AK28*AI28</f>
        <v>12800</v>
      </c>
      <c r="AM28" s="99">
        <v>50</v>
      </c>
      <c r="AN28" s="100">
        <f t="shared" si="6"/>
        <v>17500</v>
      </c>
      <c r="AO28" s="108">
        <f t="shared" si="7"/>
        <v>220</v>
      </c>
      <c r="AP28" s="308">
        <f t="shared" si="8"/>
        <v>51200</v>
      </c>
    </row>
    <row r="29" spans="1:50" ht="20.45" customHeight="1">
      <c r="A29" s="85" t="s">
        <v>559</v>
      </c>
      <c r="B29" s="86">
        <v>118</v>
      </c>
      <c r="C29" s="87" t="s">
        <v>560</v>
      </c>
      <c r="D29" s="88">
        <v>746492</v>
      </c>
      <c r="E29" s="88" t="s">
        <v>1744</v>
      </c>
      <c r="F29" s="89" t="s">
        <v>561</v>
      </c>
      <c r="G29" s="109" t="s">
        <v>562</v>
      </c>
      <c r="H29" s="109"/>
      <c r="I29" s="91">
        <v>1</v>
      </c>
      <c r="J29" s="92" t="s">
        <v>83</v>
      </c>
      <c r="K29" s="93">
        <v>1000</v>
      </c>
      <c r="L29" s="93" t="s">
        <v>84</v>
      </c>
      <c r="M29" s="116">
        <f>922/10*12</f>
        <v>1106.4000000000001</v>
      </c>
      <c r="N29" s="116">
        <f>890/9*12</f>
        <v>1186.6666666666665</v>
      </c>
      <c r="O29" s="116">
        <v>1368</v>
      </c>
      <c r="P29" s="94">
        <v>1433</v>
      </c>
      <c r="Q29" s="95">
        <v>33</v>
      </c>
      <c r="R29" s="112">
        <v>1380</v>
      </c>
      <c r="S29" s="152">
        <v>180</v>
      </c>
      <c r="T29" s="98">
        <f t="shared" si="0"/>
        <v>248400</v>
      </c>
      <c r="U29" s="99">
        <v>340</v>
      </c>
      <c r="V29" s="100">
        <f t="shared" si="1"/>
        <v>61200</v>
      </c>
      <c r="W29" s="101">
        <v>340</v>
      </c>
      <c r="X29" s="102" t="s">
        <v>174</v>
      </c>
      <c r="Y29" s="103">
        <v>160</v>
      </c>
      <c r="Z29" s="103">
        <f t="shared" si="9"/>
        <v>54400</v>
      </c>
      <c r="AA29" s="99">
        <v>340</v>
      </c>
      <c r="AB29" s="100">
        <f t="shared" si="3"/>
        <v>61200</v>
      </c>
      <c r="AC29" s="104">
        <v>340</v>
      </c>
      <c r="AD29" s="105" t="s">
        <v>174</v>
      </c>
      <c r="AE29" s="105">
        <v>160</v>
      </c>
      <c r="AF29" s="105">
        <f t="shared" si="10"/>
        <v>54400</v>
      </c>
      <c r="AG29" s="99">
        <v>350</v>
      </c>
      <c r="AH29" s="100">
        <f t="shared" si="5"/>
        <v>63000</v>
      </c>
      <c r="AI29" s="106"/>
      <c r="AJ29" s="107"/>
      <c r="AK29" s="107"/>
      <c r="AL29" s="107">
        <f>AK29*AI29</f>
        <v>0</v>
      </c>
      <c r="AM29" s="99">
        <v>350</v>
      </c>
      <c r="AN29" s="100">
        <f t="shared" si="6"/>
        <v>63000</v>
      </c>
      <c r="AO29" s="108">
        <f t="shared" si="7"/>
        <v>1380</v>
      </c>
      <c r="AP29" s="308">
        <f t="shared" si="8"/>
        <v>108800</v>
      </c>
    </row>
    <row r="30" spans="1:50" ht="20.45" customHeight="1">
      <c r="A30" s="85" t="s">
        <v>571</v>
      </c>
      <c r="B30" s="86">
        <v>121</v>
      </c>
      <c r="C30" s="87">
        <v>674776</v>
      </c>
      <c r="D30" s="88">
        <v>674753</v>
      </c>
      <c r="E30" s="88" t="s">
        <v>1744</v>
      </c>
      <c r="F30" s="117" t="s">
        <v>572</v>
      </c>
      <c r="G30" s="109" t="s">
        <v>573</v>
      </c>
      <c r="H30" s="109"/>
      <c r="I30" s="91">
        <v>1</v>
      </c>
      <c r="J30" s="92" t="s">
        <v>88</v>
      </c>
      <c r="K30" s="93">
        <v>1</v>
      </c>
      <c r="L30" s="93" t="s">
        <v>574</v>
      </c>
      <c r="M30" s="135">
        <f>800/10*12</f>
        <v>960</v>
      </c>
      <c r="N30" s="135">
        <f>900/9*12</f>
        <v>1200</v>
      </c>
      <c r="O30" s="135">
        <v>1653.3333333333333</v>
      </c>
      <c r="P30" s="94">
        <v>1740</v>
      </c>
      <c r="Q30" s="95">
        <v>140</v>
      </c>
      <c r="R30" s="112">
        <v>1800</v>
      </c>
      <c r="S30" s="110">
        <v>900</v>
      </c>
      <c r="T30" s="98">
        <f t="shared" si="0"/>
        <v>1620000</v>
      </c>
      <c r="U30" s="139">
        <v>450</v>
      </c>
      <c r="V30" s="100">
        <f t="shared" si="1"/>
        <v>405000</v>
      </c>
      <c r="W30" s="101">
        <v>400</v>
      </c>
      <c r="X30" s="102" t="s">
        <v>197</v>
      </c>
      <c r="Y30" s="103">
        <v>966.21</v>
      </c>
      <c r="Z30" s="103">
        <f t="shared" si="9"/>
        <v>386484</v>
      </c>
      <c r="AA30" s="99">
        <v>450</v>
      </c>
      <c r="AB30" s="100">
        <f t="shared" si="3"/>
        <v>405000</v>
      </c>
      <c r="AC30" s="104">
        <v>400</v>
      </c>
      <c r="AD30" s="105" t="s">
        <v>197</v>
      </c>
      <c r="AE30" s="105">
        <v>966.21</v>
      </c>
      <c r="AF30" s="105">
        <f t="shared" si="10"/>
        <v>386484</v>
      </c>
      <c r="AG30" s="99">
        <v>450</v>
      </c>
      <c r="AH30" s="100">
        <f t="shared" si="5"/>
        <v>405000</v>
      </c>
      <c r="AI30" s="106"/>
      <c r="AJ30" s="107"/>
      <c r="AK30" s="107"/>
      <c r="AL30" s="107"/>
      <c r="AM30" s="99">
        <v>450</v>
      </c>
      <c r="AN30" s="100">
        <f t="shared" si="6"/>
        <v>405000</v>
      </c>
      <c r="AO30" s="108">
        <f t="shared" si="7"/>
        <v>1800</v>
      </c>
      <c r="AP30" s="308">
        <f t="shared" si="8"/>
        <v>772968</v>
      </c>
    </row>
    <row r="31" spans="1:50" ht="20.45" customHeight="1">
      <c r="A31" s="85" t="s">
        <v>619</v>
      </c>
      <c r="B31" s="86">
        <v>133</v>
      </c>
      <c r="C31" s="87" t="s">
        <v>620</v>
      </c>
      <c r="D31" s="88">
        <v>715594</v>
      </c>
      <c r="E31" s="88" t="s">
        <v>1744</v>
      </c>
      <c r="F31" s="89" t="s">
        <v>621</v>
      </c>
      <c r="G31" s="109" t="s">
        <v>622</v>
      </c>
      <c r="H31" s="109"/>
      <c r="I31" s="91">
        <v>1</v>
      </c>
      <c r="J31" s="92" t="s">
        <v>83</v>
      </c>
      <c r="K31" s="93">
        <v>1000</v>
      </c>
      <c r="L31" s="93" t="s">
        <v>84</v>
      </c>
      <c r="M31" s="116">
        <f>556/10*12</f>
        <v>667.2</v>
      </c>
      <c r="N31" s="116">
        <f>494/9*12</f>
        <v>658.66666666666663</v>
      </c>
      <c r="O31" s="116">
        <v>824</v>
      </c>
      <c r="P31" s="94">
        <v>820</v>
      </c>
      <c r="Q31" s="95">
        <v>20</v>
      </c>
      <c r="R31" s="96">
        <f>P31-Q31</f>
        <v>800</v>
      </c>
      <c r="S31" s="97">
        <v>220</v>
      </c>
      <c r="T31" s="98">
        <f t="shared" si="0"/>
        <v>176000</v>
      </c>
      <c r="U31" s="99">
        <v>0</v>
      </c>
      <c r="V31" s="100">
        <f t="shared" si="1"/>
        <v>0</v>
      </c>
      <c r="W31" s="101"/>
      <c r="X31" s="102"/>
      <c r="Y31" s="103"/>
      <c r="Z31" s="103">
        <f t="shared" si="9"/>
        <v>0</v>
      </c>
      <c r="AA31" s="99">
        <v>400</v>
      </c>
      <c r="AB31" s="100">
        <f t="shared" si="3"/>
        <v>88000</v>
      </c>
      <c r="AC31" s="104">
        <v>400</v>
      </c>
      <c r="AD31" s="105" t="s">
        <v>249</v>
      </c>
      <c r="AE31" s="105">
        <f>2*87</f>
        <v>174</v>
      </c>
      <c r="AF31" s="105">
        <f>34800+40000</f>
        <v>74800</v>
      </c>
      <c r="AG31" s="99">
        <v>200</v>
      </c>
      <c r="AH31" s="100">
        <f t="shared" si="5"/>
        <v>44000</v>
      </c>
      <c r="AI31" s="106">
        <v>200</v>
      </c>
      <c r="AJ31" s="107" t="s">
        <v>623</v>
      </c>
      <c r="AK31" s="107">
        <v>200</v>
      </c>
      <c r="AL31" s="107">
        <f t="shared" ref="AL31:AL36" si="11">AK31*AI31</f>
        <v>40000</v>
      </c>
      <c r="AM31" s="99">
        <v>200</v>
      </c>
      <c r="AN31" s="100">
        <f t="shared" si="6"/>
        <v>44000</v>
      </c>
      <c r="AO31" s="108">
        <f t="shared" si="7"/>
        <v>800</v>
      </c>
      <c r="AP31" s="308">
        <f t="shared" si="8"/>
        <v>114800</v>
      </c>
    </row>
    <row r="32" spans="1:50" ht="20.45" customHeight="1">
      <c r="A32" s="85" t="s">
        <v>643</v>
      </c>
      <c r="B32" s="86">
        <v>138</v>
      </c>
      <c r="C32" s="87" t="s">
        <v>644</v>
      </c>
      <c r="D32" s="88">
        <v>689609</v>
      </c>
      <c r="E32" s="88" t="s">
        <v>1744</v>
      </c>
      <c r="F32" s="89" t="s">
        <v>645</v>
      </c>
      <c r="G32" s="113" t="s">
        <v>646</v>
      </c>
      <c r="H32" s="113"/>
      <c r="I32" s="114">
        <v>1</v>
      </c>
      <c r="J32" s="118" t="s">
        <v>83</v>
      </c>
      <c r="K32" s="115">
        <v>1000</v>
      </c>
      <c r="L32" s="115" t="s">
        <v>84</v>
      </c>
      <c r="M32" s="116">
        <f>668/10*12</f>
        <v>801.59999999999991</v>
      </c>
      <c r="N32" s="116">
        <f>669/9*12</f>
        <v>892</v>
      </c>
      <c r="O32" s="116">
        <v>1045.3333333333333</v>
      </c>
      <c r="P32" s="94">
        <v>1100</v>
      </c>
      <c r="Q32" s="95">
        <v>100</v>
      </c>
      <c r="R32" s="96">
        <f>P32-Q32</f>
        <v>1000</v>
      </c>
      <c r="S32" s="131">
        <v>200</v>
      </c>
      <c r="T32" s="98">
        <f t="shared" si="0"/>
        <v>200000</v>
      </c>
      <c r="U32" s="138">
        <v>250</v>
      </c>
      <c r="V32" s="100">
        <f t="shared" si="1"/>
        <v>50000</v>
      </c>
      <c r="W32" s="101">
        <v>250</v>
      </c>
      <c r="X32" s="102" t="s">
        <v>249</v>
      </c>
      <c r="Y32" s="103">
        <v>200</v>
      </c>
      <c r="Z32" s="103">
        <f t="shared" si="9"/>
        <v>50000</v>
      </c>
      <c r="AA32" s="138">
        <v>250</v>
      </c>
      <c r="AB32" s="100">
        <f t="shared" si="3"/>
        <v>50000</v>
      </c>
      <c r="AC32" s="104">
        <v>250</v>
      </c>
      <c r="AD32" s="105" t="s">
        <v>647</v>
      </c>
      <c r="AE32" s="105">
        <v>200</v>
      </c>
      <c r="AF32" s="105">
        <f>AE32*AC32</f>
        <v>50000</v>
      </c>
      <c r="AG32" s="99">
        <v>250</v>
      </c>
      <c r="AH32" s="100">
        <f t="shared" si="5"/>
        <v>50000</v>
      </c>
      <c r="AI32" s="106">
        <v>250</v>
      </c>
      <c r="AJ32" s="107" t="s">
        <v>647</v>
      </c>
      <c r="AK32" s="107">
        <v>200</v>
      </c>
      <c r="AL32" s="107">
        <f t="shared" si="11"/>
        <v>50000</v>
      </c>
      <c r="AM32" s="138">
        <v>250</v>
      </c>
      <c r="AN32" s="100">
        <f t="shared" si="6"/>
        <v>50000</v>
      </c>
      <c r="AO32" s="108">
        <f t="shared" si="7"/>
        <v>1000</v>
      </c>
      <c r="AP32" s="308">
        <f t="shared" si="8"/>
        <v>150000</v>
      </c>
    </row>
    <row r="33" spans="1:50" s="126" customFormat="1" ht="20.45" customHeight="1">
      <c r="A33" s="85" t="s">
        <v>660</v>
      </c>
      <c r="B33" s="86">
        <v>142</v>
      </c>
      <c r="C33" s="87" t="s">
        <v>661</v>
      </c>
      <c r="D33" s="88">
        <v>304012</v>
      </c>
      <c r="E33" s="88" t="s">
        <v>1744</v>
      </c>
      <c r="F33" s="89" t="s">
        <v>662</v>
      </c>
      <c r="G33" s="109" t="s">
        <v>663</v>
      </c>
      <c r="H33" s="109"/>
      <c r="I33" s="91">
        <v>1</v>
      </c>
      <c r="J33" s="92" t="s">
        <v>83</v>
      </c>
      <c r="K33" s="93">
        <v>1000</v>
      </c>
      <c r="L33" s="93" t="s">
        <v>84</v>
      </c>
      <c r="M33" s="116">
        <f>70/10*12</f>
        <v>84</v>
      </c>
      <c r="N33" s="116">
        <f>61/9*12</f>
        <v>81.333333333333329</v>
      </c>
      <c r="O33" s="116">
        <v>86.666666666666671</v>
      </c>
      <c r="P33" s="94">
        <v>95</v>
      </c>
      <c r="Q33" s="133">
        <v>15</v>
      </c>
      <c r="R33" s="112">
        <v>140</v>
      </c>
      <c r="S33" s="110">
        <v>350</v>
      </c>
      <c r="T33" s="98">
        <f t="shared" si="0"/>
        <v>49000</v>
      </c>
      <c r="U33" s="99">
        <v>60</v>
      </c>
      <c r="V33" s="100">
        <f t="shared" si="1"/>
        <v>21000</v>
      </c>
      <c r="W33" s="101">
        <f>40+20</f>
        <v>60</v>
      </c>
      <c r="X33" s="102" t="s">
        <v>160</v>
      </c>
      <c r="Y33" s="103">
        <f>2*175</f>
        <v>350</v>
      </c>
      <c r="Z33" s="103">
        <f t="shared" si="9"/>
        <v>21000</v>
      </c>
      <c r="AA33" s="99">
        <v>0</v>
      </c>
      <c r="AB33" s="100">
        <f t="shared" si="3"/>
        <v>0</v>
      </c>
      <c r="AC33" s="104"/>
      <c r="AD33" s="105"/>
      <c r="AE33" s="105"/>
      <c r="AF33" s="105"/>
      <c r="AG33" s="99">
        <v>40</v>
      </c>
      <c r="AH33" s="100">
        <f t="shared" si="5"/>
        <v>14000</v>
      </c>
      <c r="AI33" s="106">
        <v>40</v>
      </c>
      <c r="AJ33" s="107" t="s">
        <v>160</v>
      </c>
      <c r="AK33" s="107">
        <v>350</v>
      </c>
      <c r="AL33" s="107">
        <f t="shared" si="11"/>
        <v>14000</v>
      </c>
      <c r="AM33" s="99">
        <v>40</v>
      </c>
      <c r="AN33" s="100">
        <f t="shared" si="6"/>
        <v>14000</v>
      </c>
      <c r="AO33" s="108">
        <f t="shared" si="7"/>
        <v>140</v>
      </c>
      <c r="AP33" s="308">
        <f t="shared" si="8"/>
        <v>35000</v>
      </c>
      <c r="AQ33" s="3"/>
      <c r="AR33" s="3"/>
      <c r="AS33" s="3"/>
      <c r="AT33" s="3"/>
      <c r="AU33" s="3"/>
      <c r="AV33" s="3"/>
      <c r="AW33" s="3"/>
      <c r="AX33" s="3"/>
    </row>
    <row r="34" spans="1:50" ht="20.45" customHeight="1">
      <c r="A34" s="85" t="s">
        <v>664</v>
      </c>
      <c r="B34" s="86">
        <v>143</v>
      </c>
      <c r="C34" s="87" t="s">
        <v>665</v>
      </c>
      <c r="D34" s="88">
        <v>314908</v>
      </c>
      <c r="E34" s="88" t="s">
        <v>1744</v>
      </c>
      <c r="F34" s="89" t="s">
        <v>658</v>
      </c>
      <c r="G34" s="109" t="s">
        <v>666</v>
      </c>
      <c r="H34" s="109"/>
      <c r="I34" s="91">
        <v>1</v>
      </c>
      <c r="J34" s="92" t="s">
        <v>83</v>
      </c>
      <c r="K34" s="93">
        <v>100</v>
      </c>
      <c r="L34" s="93" t="s">
        <v>84</v>
      </c>
      <c r="M34" s="116">
        <f>100/10*12</f>
        <v>120</v>
      </c>
      <c r="N34" s="116">
        <f>72/9*12</f>
        <v>96</v>
      </c>
      <c r="O34" s="116">
        <v>104</v>
      </c>
      <c r="P34" s="94">
        <v>114</v>
      </c>
      <c r="Q34" s="133">
        <v>24</v>
      </c>
      <c r="R34" s="132">
        <v>150</v>
      </c>
      <c r="S34" s="97">
        <v>200</v>
      </c>
      <c r="T34" s="98">
        <f t="shared" si="0"/>
        <v>30000</v>
      </c>
      <c r="U34" s="99">
        <v>60</v>
      </c>
      <c r="V34" s="100">
        <f t="shared" si="1"/>
        <v>12000</v>
      </c>
      <c r="W34" s="101">
        <f>2*30</f>
        <v>60</v>
      </c>
      <c r="X34" s="102" t="s">
        <v>122</v>
      </c>
      <c r="Y34" s="103">
        <v>188</v>
      </c>
      <c r="Z34" s="103">
        <f t="shared" si="9"/>
        <v>11280</v>
      </c>
      <c r="AA34" s="99">
        <v>30</v>
      </c>
      <c r="AB34" s="100">
        <f t="shared" si="3"/>
        <v>6000</v>
      </c>
      <c r="AC34" s="104">
        <v>30</v>
      </c>
      <c r="AD34" s="105" t="s">
        <v>122</v>
      </c>
      <c r="AE34" s="105">
        <v>188</v>
      </c>
      <c r="AF34" s="105">
        <f t="shared" ref="AF34:AF39" si="12">AE34*AC34</f>
        <v>5640</v>
      </c>
      <c r="AG34" s="99">
        <v>30</v>
      </c>
      <c r="AH34" s="100">
        <f t="shared" si="5"/>
        <v>6000</v>
      </c>
      <c r="AI34" s="106">
        <v>30</v>
      </c>
      <c r="AJ34" s="107" t="s">
        <v>122</v>
      </c>
      <c r="AK34" s="107">
        <v>188</v>
      </c>
      <c r="AL34" s="107">
        <f t="shared" si="11"/>
        <v>5640</v>
      </c>
      <c r="AM34" s="99">
        <v>30</v>
      </c>
      <c r="AN34" s="100">
        <f t="shared" si="6"/>
        <v>6000</v>
      </c>
      <c r="AO34" s="108">
        <f t="shared" si="7"/>
        <v>150</v>
      </c>
      <c r="AP34" s="308">
        <f t="shared" si="8"/>
        <v>22560</v>
      </c>
    </row>
    <row r="35" spans="1:50" ht="20.45" customHeight="1">
      <c r="A35" s="85" t="s">
        <v>670</v>
      </c>
      <c r="B35" s="86">
        <v>145</v>
      </c>
      <c r="C35" s="87" t="s">
        <v>671</v>
      </c>
      <c r="D35" s="88">
        <v>726216</v>
      </c>
      <c r="E35" s="88" t="s">
        <v>1744</v>
      </c>
      <c r="F35" s="89" t="s">
        <v>672</v>
      </c>
      <c r="G35" s="109" t="s">
        <v>673</v>
      </c>
      <c r="H35" s="109"/>
      <c r="I35" s="91">
        <v>1</v>
      </c>
      <c r="J35" s="92" t="s">
        <v>184</v>
      </c>
      <c r="K35" s="93">
        <v>1000</v>
      </c>
      <c r="L35" s="93" t="s">
        <v>185</v>
      </c>
      <c r="M35" s="116">
        <f>88/10*12</f>
        <v>105.60000000000001</v>
      </c>
      <c r="N35" s="116">
        <f>83/9*12</f>
        <v>110.66666666666666</v>
      </c>
      <c r="O35" s="116">
        <v>90</v>
      </c>
      <c r="P35" s="94">
        <v>100</v>
      </c>
      <c r="Q35" s="95">
        <v>0</v>
      </c>
      <c r="R35" s="96">
        <f>P35-Q35</f>
        <v>100</v>
      </c>
      <c r="S35" s="110">
        <v>700</v>
      </c>
      <c r="T35" s="98">
        <f t="shared" si="0"/>
        <v>70000</v>
      </c>
      <c r="U35" s="99">
        <v>25</v>
      </c>
      <c r="V35" s="100">
        <f t="shared" si="1"/>
        <v>17500</v>
      </c>
      <c r="W35" s="101">
        <v>25</v>
      </c>
      <c r="X35" s="102" t="s">
        <v>249</v>
      </c>
      <c r="Y35" s="103">
        <v>600</v>
      </c>
      <c r="Z35" s="103">
        <f t="shared" si="9"/>
        <v>15000</v>
      </c>
      <c r="AA35" s="99">
        <v>25</v>
      </c>
      <c r="AB35" s="100">
        <f t="shared" si="3"/>
        <v>17500</v>
      </c>
      <c r="AC35" s="104">
        <v>25</v>
      </c>
      <c r="AD35" s="105" t="s">
        <v>249</v>
      </c>
      <c r="AE35" s="105">
        <v>600</v>
      </c>
      <c r="AF35" s="105">
        <f t="shared" si="12"/>
        <v>15000</v>
      </c>
      <c r="AG35" s="99">
        <v>25</v>
      </c>
      <c r="AH35" s="100">
        <f t="shared" si="5"/>
        <v>17500</v>
      </c>
      <c r="AI35" s="106"/>
      <c r="AJ35" s="107"/>
      <c r="AK35" s="107"/>
      <c r="AL35" s="107">
        <f t="shared" si="11"/>
        <v>0</v>
      </c>
      <c r="AM35" s="99">
        <v>25</v>
      </c>
      <c r="AN35" s="100">
        <f t="shared" si="6"/>
        <v>17500</v>
      </c>
      <c r="AO35" s="108">
        <f t="shared" si="7"/>
        <v>100</v>
      </c>
      <c r="AP35" s="308">
        <f t="shared" si="8"/>
        <v>30000</v>
      </c>
    </row>
    <row r="36" spans="1:50" ht="20.45" customHeight="1">
      <c r="A36" s="85" t="s">
        <v>678</v>
      </c>
      <c r="B36" s="86">
        <v>147</v>
      </c>
      <c r="C36" s="87" t="s">
        <v>679</v>
      </c>
      <c r="D36" s="88">
        <v>248314</v>
      </c>
      <c r="E36" s="88" t="s">
        <v>1744</v>
      </c>
      <c r="F36" s="89" t="s">
        <v>680</v>
      </c>
      <c r="G36" s="109" t="s">
        <v>681</v>
      </c>
      <c r="H36" s="109"/>
      <c r="I36" s="91">
        <v>1</v>
      </c>
      <c r="J36" s="92" t="s">
        <v>83</v>
      </c>
      <c r="K36" s="93">
        <v>1000</v>
      </c>
      <c r="L36" s="93" t="s">
        <v>84</v>
      </c>
      <c r="M36" s="116">
        <f>1724*12/10</f>
        <v>2068.8000000000002</v>
      </c>
      <c r="N36" s="116">
        <f>1541/9*12</f>
        <v>2054.666666666667</v>
      </c>
      <c r="O36" s="116">
        <v>2148</v>
      </c>
      <c r="P36" s="94">
        <v>2160</v>
      </c>
      <c r="Q36" s="95">
        <v>160</v>
      </c>
      <c r="R36" s="96">
        <f>P36-Q36</f>
        <v>2000</v>
      </c>
      <c r="S36" s="131">
        <v>150</v>
      </c>
      <c r="T36" s="98">
        <f t="shared" si="0"/>
        <v>300000</v>
      </c>
      <c r="U36" s="99">
        <v>500</v>
      </c>
      <c r="V36" s="100">
        <f t="shared" si="1"/>
        <v>75000</v>
      </c>
      <c r="W36" s="101">
        <v>500</v>
      </c>
      <c r="X36" s="102" t="s">
        <v>249</v>
      </c>
      <c r="Y36" s="103">
        <f>52*2</f>
        <v>104</v>
      </c>
      <c r="Z36" s="103">
        <f t="shared" si="9"/>
        <v>52000</v>
      </c>
      <c r="AA36" s="99">
        <v>500</v>
      </c>
      <c r="AB36" s="100">
        <f t="shared" si="3"/>
        <v>75000</v>
      </c>
      <c r="AC36" s="104">
        <v>500</v>
      </c>
      <c r="AD36" s="105" t="s">
        <v>249</v>
      </c>
      <c r="AE36" s="105">
        <v>104</v>
      </c>
      <c r="AF36" s="105">
        <f t="shared" si="12"/>
        <v>52000</v>
      </c>
      <c r="AG36" s="99">
        <v>500</v>
      </c>
      <c r="AH36" s="100">
        <f t="shared" si="5"/>
        <v>75000</v>
      </c>
      <c r="AI36" s="106">
        <v>500</v>
      </c>
      <c r="AJ36" s="107" t="s">
        <v>249</v>
      </c>
      <c r="AK36" s="107">
        <v>104</v>
      </c>
      <c r="AL36" s="107">
        <f t="shared" si="11"/>
        <v>52000</v>
      </c>
      <c r="AM36" s="99">
        <v>500</v>
      </c>
      <c r="AN36" s="100">
        <f t="shared" si="6"/>
        <v>75000</v>
      </c>
      <c r="AO36" s="108">
        <f t="shared" si="7"/>
        <v>2000</v>
      </c>
      <c r="AP36" s="308">
        <f t="shared" si="8"/>
        <v>156000</v>
      </c>
    </row>
    <row r="37" spans="1:50" ht="20.45" customHeight="1">
      <c r="A37" s="85" t="s">
        <v>720</v>
      </c>
      <c r="B37" s="86">
        <v>157</v>
      </c>
      <c r="C37" s="87" t="s">
        <v>721</v>
      </c>
      <c r="D37" s="88">
        <v>302864</v>
      </c>
      <c r="E37" s="88" t="s">
        <v>1744</v>
      </c>
      <c r="F37" s="89" t="s">
        <v>722</v>
      </c>
      <c r="G37" s="113" t="s">
        <v>723</v>
      </c>
      <c r="H37" s="113" t="s">
        <v>110</v>
      </c>
      <c r="I37" s="114">
        <v>1</v>
      </c>
      <c r="J37" s="118" t="s">
        <v>83</v>
      </c>
      <c r="K37" s="115">
        <v>1000</v>
      </c>
      <c r="L37" s="115" t="s">
        <v>84</v>
      </c>
      <c r="M37" s="116">
        <f>150/10*12</f>
        <v>180</v>
      </c>
      <c r="N37" s="116">
        <f>116/9*12</f>
        <v>154.66666666666669</v>
      </c>
      <c r="O37" s="116">
        <v>158.66666666666666</v>
      </c>
      <c r="P37" s="94">
        <v>160</v>
      </c>
      <c r="Q37" s="95">
        <v>0</v>
      </c>
      <c r="R37" s="96">
        <f>P37-Q37</f>
        <v>160</v>
      </c>
      <c r="S37" s="150">
        <v>190</v>
      </c>
      <c r="T37" s="98">
        <f t="shared" si="0"/>
        <v>30400</v>
      </c>
      <c r="U37" s="138">
        <v>40</v>
      </c>
      <c r="V37" s="100">
        <f t="shared" si="1"/>
        <v>7600</v>
      </c>
      <c r="W37" s="101">
        <v>40</v>
      </c>
      <c r="X37" s="102" t="s">
        <v>147</v>
      </c>
      <c r="Y37" s="103">
        <v>180</v>
      </c>
      <c r="Z37" s="103">
        <f t="shared" si="9"/>
        <v>7200</v>
      </c>
      <c r="AA37" s="138">
        <v>40</v>
      </c>
      <c r="AB37" s="100">
        <f t="shared" si="3"/>
        <v>7600</v>
      </c>
      <c r="AC37" s="104">
        <v>40</v>
      </c>
      <c r="AD37" s="105" t="s">
        <v>147</v>
      </c>
      <c r="AE37" s="105">
        <v>180</v>
      </c>
      <c r="AF37" s="105">
        <f t="shared" si="12"/>
        <v>7200</v>
      </c>
      <c r="AG37" s="138">
        <v>40</v>
      </c>
      <c r="AH37" s="100">
        <f t="shared" si="5"/>
        <v>7600</v>
      </c>
      <c r="AI37" s="106"/>
      <c r="AJ37" s="107"/>
      <c r="AK37" s="107"/>
      <c r="AL37" s="107"/>
      <c r="AM37" s="138">
        <v>40</v>
      </c>
      <c r="AN37" s="100">
        <f t="shared" si="6"/>
        <v>7600</v>
      </c>
      <c r="AO37" s="108">
        <f t="shared" si="7"/>
        <v>160</v>
      </c>
      <c r="AP37" s="308">
        <f t="shared" si="8"/>
        <v>14400</v>
      </c>
    </row>
    <row r="38" spans="1:50" ht="20.45" customHeight="1">
      <c r="A38" s="85" t="s">
        <v>724</v>
      </c>
      <c r="B38" s="86">
        <v>158</v>
      </c>
      <c r="C38" s="87">
        <v>736920</v>
      </c>
      <c r="D38" s="88">
        <v>736908</v>
      </c>
      <c r="E38" s="88" t="s">
        <v>1744</v>
      </c>
      <c r="F38" s="117" t="s">
        <v>725</v>
      </c>
      <c r="G38" s="109" t="s">
        <v>726</v>
      </c>
      <c r="H38" s="109" t="s">
        <v>169</v>
      </c>
      <c r="I38" s="91">
        <v>1</v>
      </c>
      <c r="J38" s="92" t="s">
        <v>727</v>
      </c>
      <c r="K38" s="93">
        <v>1</v>
      </c>
      <c r="L38" s="93" t="s">
        <v>728</v>
      </c>
      <c r="M38" s="116">
        <f>4797/10*12</f>
        <v>5756.4</v>
      </c>
      <c r="N38" s="116">
        <f>5334/9*12</f>
        <v>7112</v>
      </c>
      <c r="O38" s="116">
        <v>11553.333333333334</v>
      </c>
      <c r="P38" s="94">
        <v>12000</v>
      </c>
      <c r="Q38" s="95">
        <v>0</v>
      </c>
      <c r="R38" s="132">
        <v>7000</v>
      </c>
      <c r="S38" s="158">
        <v>250</v>
      </c>
      <c r="T38" s="159">
        <f t="shared" si="0"/>
        <v>1750000</v>
      </c>
      <c r="U38" s="99">
        <v>1500</v>
      </c>
      <c r="V38" s="100">
        <f t="shared" si="1"/>
        <v>375000</v>
      </c>
      <c r="W38" s="101">
        <v>1500</v>
      </c>
      <c r="X38" s="102" t="s">
        <v>203</v>
      </c>
      <c r="Y38" s="103">
        <v>246.1</v>
      </c>
      <c r="Z38" s="103">
        <f t="shared" si="9"/>
        <v>369150</v>
      </c>
      <c r="AA38" s="99">
        <v>1500</v>
      </c>
      <c r="AB38" s="100">
        <f t="shared" si="3"/>
        <v>375000</v>
      </c>
      <c r="AC38" s="104">
        <v>1500</v>
      </c>
      <c r="AD38" s="105" t="s">
        <v>203</v>
      </c>
      <c r="AE38" s="105">
        <v>246.1</v>
      </c>
      <c r="AF38" s="105">
        <f t="shared" si="12"/>
        <v>369150</v>
      </c>
      <c r="AG38" s="99">
        <v>2000</v>
      </c>
      <c r="AH38" s="100">
        <f t="shared" si="5"/>
        <v>500000</v>
      </c>
      <c r="AI38" s="106">
        <v>1500</v>
      </c>
      <c r="AJ38" s="107" t="s">
        <v>203</v>
      </c>
      <c r="AK38" s="107">
        <v>246.1</v>
      </c>
      <c r="AL38" s="107">
        <f>AK38*AI38</f>
        <v>369150</v>
      </c>
      <c r="AM38" s="99">
        <v>2000</v>
      </c>
      <c r="AN38" s="100">
        <f t="shared" si="6"/>
        <v>500000</v>
      </c>
      <c r="AO38" s="108">
        <f t="shared" si="7"/>
        <v>7000</v>
      </c>
      <c r="AP38" s="308">
        <f t="shared" si="8"/>
        <v>1107450</v>
      </c>
    </row>
    <row r="39" spans="1:50" ht="20.45" customHeight="1">
      <c r="A39" s="85" t="s">
        <v>741</v>
      </c>
      <c r="B39" s="86">
        <v>162</v>
      </c>
      <c r="C39" s="87" t="s">
        <v>742</v>
      </c>
      <c r="D39" s="88">
        <v>733413</v>
      </c>
      <c r="E39" s="88" t="s">
        <v>1744</v>
      </c>
      <c r="F39" s="89" t="s">
        <v>743</v>
      </c>
      <c r="G39" s="109" t="s">
        <v>744</v>
      </c>
      <c r="H39" s="109"/>
      <c r="I39" s="91">
        <v>1</v>
      </c>
      <c r="J39" s="92" t="s">
        <v>83</v>
      </c>
      <c r="K39" s="93">
        <v>1000</v>
      </c>
      <c r="L39" s="93" t="s">
        <v>84</v>
      </c>
      <c r="M39" s="116">
        <f>590/10*12</f>
        <v>708</v>
      </c>
      <c r="N39" s="116">
        <f>640.5/9*12</f>
        <v>854</v>
      </c>
      <c r="O39" s="116">
        <v>932</v>
      </c>
      <c r="P39" s="94">
        <v>957</v>
      </c>
      <c r="Q39" s="95">
        <v>157</v>
      </c>
      <c r="R39" s="132">
        <v>1000</v>
      </c>
      <c r="S39" s="110">
        <v>400</v>
      </c>
      <c r="T39" s="98">
        <f t="shared" si="0"/>
        <v>400000</v>
      </c>
      <c r="U39" s="99">
        <v>200</v>
      </c>
      <c r="V39" s="100">
        <f t="shared" si="1"/>
        <v>80000</v>
      </c>
      <c r="W39" s="101">
        <v>200</v>
      </c>
      <c r="X39" s="102" t="s">
        <v>285</v>
      </c>
      <c r="Y39" s="103">
        <v>288</v>
      </c>
      <c r="Z39" s="103">
        <f t="shared" si="9"/>
        <v>57600</v>
      </c>
      <c r="AA39" s="99">
        <v>400</v>
      </c>
      <c r="AB39" s="100">
        <f t="shared" si="3"/>
        <v>160000</v>
      </c>
      <c r="AC39" s="104">
        <f>2*200</f>
        <v>400</v>
      </c>
      <c r="AD39" s="105" t="s">
        <v>285</v>
      </c>
      <c r="AE39" s="105">
        <f>2*144</f>
        <v>288</v>
      </c>
      <c r="AF39" s="105">
        <f t="shared" si="12"/>
        <v>115200</v>
      </c>
      <c r="AG39" s="99">
        <v>200</v>
      </c>
      <c r="AH39" s="100">
        <f t="shared" si="5"/>
        <v>80000</v>
      </c>
      <c r="AI39" s="106">
        <v>200</v>
      </c>
      <c r="AJ39" s="107" t="s">
        <v>285</v>
      </c>
      <c r="AK39" s="107">
        <f>2*144</f>
        <v>288</v>
      </c>
      <c r="AL39" s="107">
        <f>AK39*AI39</f>
        <v>57600</v>
      </c>
      <c r="AM39" s="99">
        <v>200</v>
      </c>
      <c r="AN39" s="100">
        <f t="shared" si="6"/>
        <v>80000</v>
      </c>
      <c r="AO39" s="108">
        <f t="shared" si="7"/>
        <v>1000</v>
      </c>
      <c r="AP39" s="308">
        <f t="shared" si="8"/>
        <v>230400</v>
      </c>
    </row>
    <row r="40" spans="1:50" ht="20.45" customHeight="1">
      <c r="A40" s="85" t="s">
        <v>802</v>
      </c>
      <c r="B40" s="86">
        <v>177</v>
      </c>
      <c r="C40" s="87" t="s">
        <v>803</v>
      </c>
      <c r="D40" s="88">
        <v>762083</v>
      </c>
      <c r="E40" s="88" t="s">
        <v>1744</v>
      </c>
      <c r="F40" s="89" t="s">
        <v>804</v>
      </c>
      <c r="G40" s="109" t="s">
        <v>805</v>
      </c>
      <c r="H40" s="109" t="s">
        <v>110</v>
      </c>
      <c r="I40" s="91">
        <v>1</v>
      </c>
      <c r="J40" s="92" t="s">
        <v>83</v>
      </c>
      <c r="K40" s="93">
        <v>1000</v>
      </c>
      <c r="L40" s="93" t="s">
        <v>84</v>
      </c>
      <c r="M40" s="116">
        <f>62/10*12</f>
        <v>74.400000000000006</v>
      </c>
      <c r="N40" s="116">
        <f>52/9*12</f>
        <v>69.333333333333329</v>
      </c>
      <c r="O40" s="116">
        <v>73.333333333333329</v>
      </c>
      <c r="P40" s="94">
        <v>76</v>
      </c>
      <c r="Q40" s="95">
        <v>6</v>
      </c>
      <c r="R40" s="132">
        <v>60</v>
      </c>
      <c r="S40" s="97">
        <v>540</v>
      </c>
      <c r="T40" s="98">
        <f t="shared" si="0"/>
        <v>32400</v>
      </c>
      <c r="U40" s="99">
        <v>20</v>
      </c>
      <c r="V40" s="100">
        <f t="shared" si="1"/>
        <v>10800</v>
      </c>
      <c r="W40" s="101">
        <v>20</v>
      </c>
      <c r="X40" s="102" t="s">
        <v>174</v>
      </c>
      <c r="Y40" s="103">
        <f>2*270</f>
        <v>540</v>
      </c>
      <c r="Z40" s="103">
        <f t="shared" si="9"/>
        <v>10800</v>
      </c>
      <c r="AA40" s="99">
        <v>0</v>
      </c>
      <c r="AB40" s="100">
        <f t="shared" si="3"/>
        <v>0</v>
      </c>
      <c r="AC40" s="104"/>
      <c r="AD40" s="105"/>
      <c r="AE40" s="105"/>
      <c r="AF40" s="105"/>
      <c r="AG40" s="99">
        <v>20</v>
      </c>
      <c r="AH40" s="100">
        <f t="shared" si="5"/>
        <v>10800</v>
      </c>
      <c r="AI40" s="106">
        <v>20</v>
      </c>
      <c r="AJ40" s="107" t="s">
        <v>174</v>
      </c>
      <c r="AK40" s="107">
        <f>2*270</f>
        <v>540</v>
      </c>
      <c r="AL40" s="107">
        <f>AK40*AI40</f>
        <v>10800</v>
      </c>
      <c r="AM40" s="99">
        <v>20</v>
      </c>
      <c r="AN40" s="100">
        <f t="shared" si="6"/>
        <v>10800</v>
      </c>
      <c r="AO40" s="108">
        <f t="shared" si="7"/>
        <v>60</v>
      </c>
      <c r="AP40" s="308">
        <f t="shared" si="8"/>
        <v>21600</v>
      </c>
    </row>
    <row r="41" spans="1:50" ht="20.45" customHeight="1">
      <c r="A41" s="85" t="s">
        <v>817</v>
      </c>
      <c r="B41" s="86">
        <v>181</v>
      </c>
      <c r="C41" s="87" t="s">
        <v>818</v>
      </c>
      <c r="D41" s="142">
        <v>1282436</v>
      </c>
      <c r="E41" s="142" t="s">
        <v>1744</v>
      </c>
      <c r="F41" s="89" t="s">
        <v>819</v>
      </c>
      <c r="G41" s="109" t="s">
        <v>820</v>
      </c>
      <c r="H41" s="109"/>
      <c r="I41" s="91">
        <v>1</v>
      </c>
      <c r="J41" s="92" t="s">
        <v>195</v>
      </c>
      <c r="K41" s="93">
        <v>1</v>
      </c>
      <c r="L41" s="93" t="s">
        <v>821</v>
      </c>
      <c r="M41" s="116">
        <f>1101/10*12</f>
        <v>1321.1999999999998</v>
      </c>
      <c r="N41" s="116">
        <f>1063/9*12</f>
        <v>1417.3333333333335</v>
      </c>
      <c r="O41" s="116">
        <v>1400</v>
      </c>
      <c r="P41" s="94">
        <v>1400</v>
      </c>
      <c r="Q41" s="95">
        <v>100</v>
      </c>
      <c r="R41" s="96">
        <f t="shared" ref="R41:R46" si="13">P41-Q41</f>
        <v>1300</v>
      </c>
      <c r="S41" s="97">
        <v>58.85</v>
      </c>
      <c r="T41" s="98">
        <f t="shared" si="0"/>
        <v>76505</v>
      </c>
      <c r="U41" s="99">
        <v>400</v>
      </c>
      <c r="V41" s="100">
        <f t="shared" si="1"/>
        <v>23540</v>
      </c>
      <c r="W41" s="101">
        <f>16*25</f>
        <v>400</v>
      </c>
      <c r="X41" s="102" t="s">
        <v>232</v>
      </c>
      <c r="Y41" s="103">
        <f>950/25</f>
        <v>38</v>
      </c>
      <c r="Z41" s="103">
        <f t="shared" si="9"/>
        <v>15200</v>
      </c>
      <c r="AA41" s="99">
        <v>300</v>
      </c>
      <c r="AB41" s="100">
        <f t="shared" si="3"/>
        <v>17655</v>
      </c>
      <c r="AC41" s="104">
        <v>300</v>
      </c>
      <c r="AD41" s="105" t="s">
        <v>174</v>
      </c>
      <c r="AE41" s="105">
        <v>37.450000000000003</v>
      </c>
      <c r="AF41" s="105">
        <f>AE41*AC41</f>
        <v>11235</v>
      </c>
      <c r="AG41" s="99">
        <v>300</v>
      </c>
      <c r="AH41" s="100">
        <f t="shared" si="5"/>
        <v>17655</v>
      </c>
      <c r="AI41" s="106">
        <v>300</v>
      </c>
      <c r="AJ41" s="107" t="s">
        <v>174</v>
      </c>
      <c r="AK41" s="107">
        <v>37.450000000000003</v>
      </c>
      <c r="AL41" s="107">
        <f>AK41*AI41</f>
        <v>11235</v>
      </c>
      <c r="AM41" s="99">
        <v>300</v>
      </c>
      <c r="AN41" s="100">
        <f t="shared" si="6"/>
        <v>17655</v>
      </c>
      <c r="AO41" s="108">
        <f t="shared" si="7"/>
        <v>1300</v>
      </c>
      <c r="AP41" s="308">
        <f t="shared" si="8"/>
        <v>37670</v>
      </c>
    </row>
    <row r="42" spans="1:50" ht="20.45" customHeight="1">
      <c r="A42" s="85" t="s">
        <v>835</v>
      </c>
      <c r="B42" s="86">
        <v>185</v>
      </c>
      <c r="C42" s="87" t="s">
        <v>836</v>
      </c>
      <c r="D42" s="88">
        <v>645678</v>
      </c>
      <c r="E42" s="88" t="s">
        <v>1745</v>
      </c>
      <c r="F42" s="89" t="s">
        <v>837</v>
      </c>
      <c r="G42" s="109" t="s">
        <v>838</v>
      </c>
      <c r="H42" s="109"/>
      <c r="I42" s="91">
        <v>1</v>
      </c>
      <c r="J42" s="92" t="s">
        <v>83</v>
      </c>
      <c r="K42" s="93">
        <v>1000</v>
      </c>
      <c r="L42" s="93" t="s">
        <v>84</v>
      </c>
      <c r="M42" s="116">
        <f>56/10*12</f>
        <v>67.199999999999989</v>
      </c>
      <c r="N42" s="116">
        <f>49/9*12</f>
        <v>65.333333333333343</v>
      </c>
      <c r="O42" s="116">
        <v>74</v>
      </c>
      <c r="P42" s="94">
        <v>75</v>
      </c>
      <c r="Q42" s="133">
        <v>0</v>
      </c>
      <c r="R42" s="96">
        <f t="shared" si="13"/>
        <v>75</v>
      </c>
      <c r="S42" s="110">
        <v>400</v>
      </c>
      <c r="T42" s="98">
        <f t="shared" si="0"/>
        <v>30000</v>
      </c>
      <c r="U42" s="99">
        <v>20</v>
      </c>
      <c r="V42" s="100">
        <f t="shared" si="1"/>
        <v>8000</v>
      </c>
      <c r="W42" s="101">
        <f>2*20</f>
        <v>40</v>
      </c>
      <c r="X42" s="102" t="s">
        <v>261</v>
      </c>
      <c r="Y42" s="103">
        <f>175*2</f>
        <v>350</v>
      </c>
      <c r="Z42" s="103">
        <f t="shared" si="9"/>
        <v>14000</v>
      </c>
      <c r="AA42" s="99">
        <v>20</v>
      </c>
      <c r="AB42" s="100">
        <f t="shared" si="3"/>
        <v>8000</v>
      </c>
      <c r="AC42" s="104"/>
      <c r="AD42" s="105"/>
      <c r="AE42" s="105"/>
      <c r="AF42" s="105"/>
      <c r="AG42" s="99">
        <v>20</v>
      </c>
      <c r="AH42" s="100">
        <f t="shared" si="5"/>
        <v>8000</v>
      </c>
      <c r="AI42" s="106">
        <v>20</v>
      </c>
      <c r="AJ42" s="107" t="s">
        <v>261</v>
      </c>
      <c r="AK42" s="107">
        <f>2*175</f>
        <v>350</v>
      </c>
      <c r="AL42" s="107">
        <f>AK42*AI42</f>
        <v>7000</v>
      </c>
      <c r="AM42" s="99">
        <v>15</v>
      </c>
      <c r="AN42" s="100">
        <f t="shared" si="6"/>
        <v>6000</v>
      </c>
      <c r="AO42" s="108">
        <f t="shared" si="7"/>
        <v>75</v>
      </c>
      <c r="AP42" s="308">
        <f t="shared" si="8"/>
        <v>21000</v>
      </c>
    </row>
    <row r="43" spans="1:50" ht="20.45" customHeight="1">
      <c r="A43" s="85" t="s">
        <v>859</v>
      </c>
      <c r="B43" s="86">
        <v>191</v>
      </c>
      <c r="C43" s="87">
        <v>473640</v>
      </c>
      <c r="D43" s="88">
        <v>233816</v>
      </c>
      <c r="E43" s="88" t="s">
        <v>1744</v>
      </c>
      <c r="F43" s="117" t="s">
        <v>860</v>
      </c>
      <c r="G43" s="109" t="s">
        <v>861</v>
      </c>
      <c r="H43" s="109"/>
      <c r="I43" s="91">
        <v>1</v>
      </c>
      <c r="J43" s="92" t="s">
        <v>83</v>
      </c>
      <c r="K43" s="93">
        <v>1000</v>
      </c>
      <c r="L43" s="93" t="s">
        <v>84</v>
      </c>
      <c r="M43" s="116">
        <f>88.2*12/10</f>
        <v>105.84</v>
      </c>
      <c r="N43" s="116">
        <f>98/9*12</f>
        <v>130.66666666666669</v>
      </c>
      <c r="O43" s="116">
        <v>148.66666666666666</v>
      </c>
      <c r="P43" s="94">
        <v>155</v>
      </c>
      <c r="Q43" s="95">
        <v>5</v>
      </c>
      <c r="R43" s="96">
        <f t="shared" si="13"/>
        <v>150</v>
      </c>
      <c r="S43" s="110">
        <v>340</v>
      </c>
      <c r="T43" s="98">
        <f t="shared" si="0"/>
        <v>51000</v>
      </c>
      <c r="U43" s="99">
        <v>40</v>
      </c>
      <c r="V43" s="100">
        <f t="shared" si="1"/>
        <v>13600</v>
      </c>
      <c r="W43" s="101">
        <v>40</v>
      </c>
      <c r="X43" s="102" t="s">
        <v>623</v>
      </c>
      <c r="Y43" s="103">
        <v>280</v>
      </c>
      <c r="Z43" s="103">
        <f t="shared" si="9"/>
        <v>11200</v>
      </c>
      <c r="AA43" s="99">
        <v>40</v>
      </c>
      <c r="AB43" s="100">
        <f t="shared" si="3"/>
        <v>13600</v>
      </c>
      <c r="AC43" s="104">
        <v>40</v>
      </c>
      <c r="AD43" s="105" t="s">
        <v>623</v>
      </c>
      <c r="AE43" s="105">
        <v>280</v>
      </c>
      <c r="AF43" s="105">
        <f>AE43*AC43</f>
        <v>11200</v>
      </c>
      <c r="AG43" s="99">
        <v>40</v>
      </c>
      <c r="AH43" s="100">
        <f t="shared" si="5"/>
        <v>13600</v>
      </c>
      <c r="AI43" s="106"/>
      <c r="AJ43" s="107"/>
      <c r="AK43" s="107"/>
      <c r="AL43" s="107"/>
      <c r="AM43" s="99">
        <v>30</v>
      </c>
      <c r="AN43" s="100">
        <f t="shared" si="6"/>
        <v>10200</v>
      </c>
      <c r="AO43" s="108">
        <f t="shared" si="7"/>
        <v>150</v>
      </c>
      <c r="AP43" s="308">
        <f t="shared" si="8"/>
        <v>22400</v>
      </c>
    </row>
    <row r="44" spans="1:50" ht="20.45" customHeight="1">
      <c r="A44" s="85" t="s">
        <v>871</v>
      </c>
      <c r="B44" s="86">
        <v>194</v>
      </c>
      <c r="C44" s="87" t="s">
        <v>872</v>
      </c>
      <c r="D44" s="88">
        <v>206200</v>
      </c>
      <c r="E44" s="88" t="s">
        <v>1745</v>
      </c>
      <c r="F44" s="89" t="s">
        <v>873</v>
      </c>
      <c r="G44" s="109" t="s">
        <v>874</v>
      </c>
      <c r="H44" s="109"/>
      <c r="I44" s="91">
        <v>1</v>
      </c>
      <c r="J44" s="92" t="s">
        <v>83</v>
      </c>
      <c r="K44" s="93">
        <v>1000</v>
      </c>
      <c r="L44" s="93" t="s">
        <v>84</v>
      </c>
      <c r="M44" s="116">
        <f>407/10*12</f>
        <v>488.40000000000003</v>
      </c>
      <c r="N44" s="116">
        <f>453/9*12</f>
        <v>604</v>
      </c>
      <c r="O44" s="116">
        <v>885.33333333333337</v>
      </c>
      <c r="P44" s="94">
        <v>900</v>
      </c>
      <c r="Q44" s="95">
        <v>100</v>
      </c>
      <c r="R44" s="96">
        <f t="shared" si="13"/>
        <v>800</v>
      </c>
      <c r="S44" s="131">
        <v>713</v>
      </c>
      <c r="T44" s="98">
        <f t="shared" si="0"/>
        <v>570400</v>
      </c>
      <c r="U44" s="99">
        <v>200</v>
      </c>
      <c r="V44" s="100">
        <f t="shared" si="1"/>
        <v>142600</v>
      </c>
      <c r="W44" s="101">
        <v>200</v>
      </c>
      <c r="X44" s="102" t="s">
        <v>174</v>
      </c>
      <c r="Y44" s="103">
        <v>650</v>
      </c>
      <c r="Z44" s="103">
        <f t="shared" si="9"/>
        <v>130000</v>
      </c>
      <c r="AA44" s="99">
        <v>200</v>
      </c>
      <c r="AB44" s="100">
        <f t="shared" si="3"/>
        <v>142600</v>
      </c>
      <c r="AC44" s="104">
        <v>200</v>
      </c>
      <c r="AD44" s="105" t="s">
        <v>174</v>
      </c>
      <c r="AE44" s="105">
        <v>650</v>
      </c>
      <c r="AF44" s="105">
        <f>AE44*AC44</f>
        <v>130000</v>
      </c>
      <c r="AG44" s="99">
        <v>200</v>
      </c>
      <c r="AH44" s="100">
        <f t="shared" si="5"/>
        <v>142600</v>
      </c>
      <c r="AI44" s="106">
        <v>200</v>
      </c>
      <c r="AJ44" s="107" t="s">
        <v>174</v>
      </c>
      <c r="AK44" s="107">
        <v>650</v>
      </c>
      <c r="AL44" s="107">
        <f t="shared" ref="AL44:AL67" si="14">AK44*AI44</f>
        <v>130000</v>
      </c>
      <c r="AM44" s="99">
        <v>200</v>
      </c>
      <c r="AN44" s="100">
        <f t="shared" si="6"/>
        <v>142600</v>
      </c>
      <c r="AO44" s="108">
        <f t="shared" si="7"/>
        <v>800</v>
      </c>
      <c r="AP44" s="308">
        <f t="shared" si="8"/>
        <v>390000</v>
      </c>
    </row>
    <row r="45" spans="1:50" ht="20.45" customHeight="1">
      <c r="A45" s="85" t="s">
        <v>887</v>
      </c>
      <c r="B45" s="86">
        <v>198</v>
      </c>
      <c r="C45" s="87" t="s">
        <v>888</v>
      </c>
      <c r="D45" s="88">
        <v>696858</v>
      </c>
      <c r="E45" s="88" t="s">
        <v>1744</v>
      </c>
      <c r="F45" s="89" t="s">
        <v>889</v>
      </c>
      <c r="G45" s="109" t="s">
        <v>890</v>
      </c>
      <c r="H45" s="109" t="s">
        <v>110</v>
      </c>
      <c r="I45" s="91">
        <v>1</v>
      </c>
      <c r="J45" s="92" t="s">
        <v>83</v>
      </c>
      <c r="K45" s="93">
        <v>1000</v>
      </c>
      <c r="L45" s="93" t="s">
        <v>84</v>
      </c>
      <c r="M45" s="116">
        <f>2103*12/10</f>
        <v>2523.6</v>
      </c>
      <c r="N45" s="116">
        <f>2071/9*12</f>
        <v>2761.3333333333335</v>
      </c>
      <c r="O45" s="116">
        <v>2772.6666666666665</v>
      </c>
      <c r="P45" s="94">
        <v>2800</v>
      </c>
      <c r="Q45" s="95">
        <v>100</v>
      </c>
      <c r="R45" s="96">
        <f t="shared" si="13"/>
        <v>2700</v>
      </c>
      <c r="S45" s="131">
        <v>250</v>
      </c>
      <c r="T45" s="98">
        <f t="shared" si="0"/>
        <v>675000</v>
      </c>
      <c r="U45" s="99">
        <v>700</v>
      </c>
      <c r="V45" s="100">
        <f t="shared" si="1"/>
        <v>175000</v>
      </c>
      <c r="W45" s="101">
        <v>700</v>
      </c>
      <c r="X45" s="102" t="s">
        <v>249</v>
      </c>
      <c r="Y45" s="103">
        <f>2*96</f>
        <v>192</v>
      </c>
      <c r="Z45" s="103">
        <f t="shared" si="9"/>
        <v>134400</v>
      </c>
      <c r="AA45" s="99">
        <v>700</v>
      </c>
      <c r="AB45" s="100">
        <f t="shared" si="3"/>
        <v>175000</v>
      </c>
      <c r="AC45" s="104">
        <v>700</v>
      </c>
      <c r="AD45" s="105" t="s">
        <v>249</v>
      </c>
      <c r="AE45" s="105">
        <v>192</v>
      </c>
      <c r="AF45" s="105">
        <f>AE45*AC45</f>
        <v>134400</v>
      </c>
      <c r="AG45" s="99">
        <v>700</v>
      </c>
      <c r="AH45" s="100">
        <f t="shared" si="5"/>
        <v>175000</v>
      </c>
      <c r="AI45" s="106">
        <v>700</v>
      </c>
      <c r="AJ45" s="107" t="s">
        <v>249</v>
      </c>
      <c r="AK45" s="107">
        <v>192</v>
      </c>
      <c r="AL45" s="107">
        <f t="shared" si="14"/>
        <v>134400</v>
      </c>
      <c r="AM45" s="99">
        <v>600</v>
      </c>
      <c r="AN45" s="100">
        <f t="shared" si="6"/>
        <v>150000</v>
      </c>
      <c r="AO45" s="108">
        <f t="shared" si="7"/>
        <v>2700</v>
      </c>
      <c r="AP45" s="308">
        <f t="shared" si="8"/>
        <v>403200</v>
      </c>
    </row>
    <row r="46" spans="1:50" ht="20.45" customHeight="1">
      <c r="A46" s="85" t="s">
        <v>891</v>
      </c>
      <c r="B46" s="86">
        <v>199</v>
      </c>
      <c r="C46" s="87" t="s">
        <v>892</v>
      </c>
      <c r="D46" s="88">
        <v>375112</v>
      </c>
      <c r="E46" s="88" t="s">
        <v>1744</v>
      </c>
      <c r="F46" s="89" t="s">
        <v>893</v>
      </c>
      <c r="G46" s="109" t="s">
        <v>894</v>
      </c>
      <c r="H46" s="109"/>
      <c r="I46" s="91">
        <v>1</v>
      </c>
      <c r="J46" s="92" t="s">
        <v>83</v>
      </c>
      <c r="K46" s="93">
        <v>1000</v>
      </c>
      <c r="L46" s="93" t="s">
        <v>84</v>
      </c>
      <c r="M46" s="116">
        <f>65/10*12</f>
        <v>78</v>
      </c>
      <c r="N46" s="116">
        <f>63/9*12</f>
        <v>84</v>
      </c>
      <c r="O46" s="116">
        <v>92.666666666666671</v>
      </c>
      <c r="P46" s="94">
        <v>95</v>
      </c>
      <c r="Q46" s="95">
        <v>15</v>
      </c>
      <c r="R46" s="96">
        <f t="shared" si="13"/>
        <v>80</v>
      </c>
      <c r="S46" s="97">
        <v>700.22</v>
      </c>
      <c r="T46" s="98">
        <f t="shared" si="0"/>
        <v>56017.600000000006</v>
      </c>
      <c r="U46" s="99">
        <v>20</v>
      </c>
      <c r="V46" s="100">
        <f t="shared" si="1"/>
        <v>14004.400000000001</v>
      </c>
      <c r="W46" s="101">
        <v>20</v>
      </c>
      <c r="X46" s="102" t="s">
        <v>261</v>
      </c>
      <c r="Y46" s="103">
        <f>2*340</f>
        <v>680</v>
      </c>
      <c r="Z46" s="103">
        <f t="shared" si="9"/>
        <v>13600</v>
      </c>
      <c r="AA46" s="99">
        <v>20</v>
      </c>
      <c r="AB46" s="100">
        <f t="shared" si="3"/>
        <v>14004.400000000001</v>
      </c>
      <c r="AC46" s="104">
        <v>20</v>
      </c>
      <c r="AD46" s="105" t="s">
        <v>261</v>
      </c>
      <c r="AE46" s="105">
        <v>680</v>
      </c>
      <c r="AF46" s="105">
        <f>AE46*AC46</f>
        <v>13600</v>
      </c>
      <c r="AG46" s="99">
        <v>20</v>
      </c>
      <c r="AH46" s="100">
        <f t="shared" si="5"/>
        <v>14004.400000000001</v>
      </c>
      <c r="AI46" s="106"/>
      <c r="AJ46" s="107"/>
      <c r="AK46" s="107"/>
      <c r="AL46" s="107">
        <f t="shared" si="14"/>
        <v>0</v>
      </c>
      <c r="AM46" s="99">
        <v>20</v>
      </c>
      <c r="AN46" s="100">
        <f t="shared" si="6"/>
        <v>14004.400000000001</v>
      </c>
      <c r="AO46" s="108">
        <f t="shared" si="7"/>
        <v>80</v>
      </c>
      <c r="AP46" s="308">
        <f t="shared" si="8"/>
        <v>27200</v>
      </c>
    </row>
    <row r="47" spans="1:50" s="121" customFormat="1" ht="20.45" customHeight="1">
      <c r="A47" s="85" t="s">
        <v>899</v>
      </c>
      <c r="B47" s="86">
        <v>201</v>
      </c>
      <c r="C47" s="87">
        <v>441621</v>
      </c>
      <c r="D47" s="88">
        <v>233579</v>
      </c>
      <c r="E47" s="88" t="s">
        <v>1744</v>
      </c>
      <c r="F47" s="117" t="s">
        <v>900</v>
      </c>
      <c r="G47" s="109" t="s">
        <v>901</v>
      </c>
      <c r="H47" s="109"/>
      <c r="I47" s="91">
        <v>1</v>
      </c>
      <c r="J47" s="92" t="s">
        <v>83</v>
      </c>
      <c r="K47" s="93">
        <v>1000</v>
      </c>
      <c r="L47" s="93" t="s">
        <v>84</v>
      </c>
      <c r="M47" s="116">
        <v>0</v>
      </c>
      <c r="N47" s="116">
        <v>0</v>
      </c>
      <c r="O47" s="116">
        <v>30</v>
      </c>
      <c r="P47" s="94">
        <v>88</v>
      </c>
      <c r="Q47" s="95">
        <v>8</v>
      </c>
      <c r="R47" s="145">
        <v>45</v>
      </c>
      <c r="S47" s="97">
        <v>1498</v>
      </c>
      <c r="T47" s="98">
        <f t="shared" si="0"/>
        <v>67410</v>
      </c>
      <c r="U47" s="99">
        <v>15</v>
      </c>
      <c r="V47" s="100">
        <f t="shared" si="1"/>
        <v>22470</v>
      </c>
      <c r="W47" s="101">
        <v>15</v>
      </c>
      <c r="X47" s="102" t="s">
        <v>902</v>
      </c>
      <c r="Y47" s="103">
        <v>1400</v>
      </c>
      <c r="Z47" s="103">
        <f t="shared" si="9"/>
        <v>21000</v>
      </c>
      <c r="AA47" s="99">
        <v>0</v>
      </c>
      <c r="AB47" s="100">
        <f t="shared" si="3"/>
        <v>0</v>
      </c>
      <c r="AC47" s="104">
        <v>0</v>
      </c>
      <c r="AD47" s="105"/>
      <c r="AE47" s="105"/>
      <c r="AF47" s="105"/>
      <c r="AG47" s="99">
        <v>15</v>
      </c>
      <c r="AH47" s="100">
        <f t="shared" si="5"/>
        <v>22470</v>
      </c>
      <c r="AI47" s="106">
        <v>15</v>
      </c>
      <c r="AJ47" s="107" t="s">
        <v>902</v>
      </c>
      <c r="AK47" s="107">
        <v>1498</v>
      </c>
      <c r="AL47" s="107">
        <f t="shared" si="14"/>
        <v>22470</v>
      </c>
      <c r="AM47" s="99">
        <v>15</v>
      </c>
      <c r="AN47" s="100">
        <f t="shared" si="6"/>
        <v>22470</v>
      </c>
      <c r="AO47" s="108">
        <f t="shared" si="7"/>
        <v>45</v>
      </c>
      <c r="AP47" s="308">
        <f t="shared" si="8"/>
        <v>43470</v>
      </c>
      <c r="AQ47" s="3"/>
      <c r="AR47" s="3"/>
      <c r="AS47" s="3"/>
      <c r="AT47" s="3"/>
      <c r="AU47" s="3"/>
      <c r="AV47" s="3"/>
      <c r="AW47" s="3"/>
      <c r="AX47" s="3"/>
    </row>
    <row r="48" spans="1:50" ht="20.45" customHeight="1">
      <c r="A48" s="85" t="s">
        <v>918</v>
      </c>
      <c r="B48" s="86">
        <v>206</v>
      </c>
      <c r="C48" s="87" t="s">
        <v>919</v>
      </c>
      <c r="D48" s="88">
        <v>261823</v>
      </c>
      <c r="E48" s="88" t="s">
        <v>1744</v>
      </c>
      <c r="F48" s="89" t="s">
        <v>920</v>
      </c>
      <c r="G48" s="113" t="s">
        <v>921</v>
      </c>
      <c r="H48" s="113"/>
      <c r="I48" s="114">
        <v>1</v>
      </c>
      <c r="J48" s="118" t="s">
        <v>83</v>
      </c>
      <c r="K48" s="115">
        <v>1000</v>
      </c>
      <c r="L48" s="115" t="s">
        <v>84</v>
      </c>
      <c r="M48" s="116">
        <f>35/10*12</f>
        <v>42</v>
      </c>
      <c r="N48" s="116">
        <f>32/9*12</f>
        <v>42.666666666666664</v>
      </c>
      <c r="O48" s="116">
        <v>58</v>
      </c>
      <c r="P48" s="94">
        <v>60</v>
      </c>
      <c r="Q48" s="95">
        <v>0</v>
      </c>
      <c r="R48" s="96">
        <f>P48-Q48</f>
        <v>60</v>
      </c>
      <c r="S48" s="131">
        <v>650</v>
      </c>
      <c r="T48" s="98">
        <f t="shared" si="0"/>
        <v>39000</v>
      </c>
      <c r="U48" s="99">
        <v>15</v>
      </c>
      <c r="V48" s="100">
        <f t="shared" si="1"/>
        <v>9750</v>
      </c>
      <c r="W48" s="101">
        <v>15</v>
      </c>
      <c r="X48" s="102" t="s">
        <v>249</v>
      </c>
      <c r="Y48" s="103">
        <f>2*195</f>
        <v>390</v>
      </c>
      <c r="Z48" s="103">
        <f t="shared" si="9"/>
        <v>5850</v>
      </c>
      <c r="AA48" s="99">
        <v>15</v>
      </c>
      <c r="AB48" s="100">
        <f t="shared" si="3"/>
        <v>9750</v>
      </c>
      <c r="AC48" s="104">
        <v>15</v>
      </c>
      <c r="AD48" s="105" t="s">
        <v>249</v>
      </c>
      <c r="AE48" s="105">
        <v>390</v>
      </c>
      <c r="AF48" s="105">
        <f>AE48*AC48</f>
        <v>5850</v>
      </c>
      <c r="AG48" s="99">
        <v>15</v>
      </c>
      <c r="AH48" s="100">
        <f t="shared" si="5"/>
        <v>9750</v>
      </c>
      <c r="AI48" s="106">
        <v>15</v>
      </c>
      <c r="AJ48" s="107" t="s">
        <v>249</v>
      </c>
      <c r="AK48" s="107">
        <f>2*195</f>
        <v>390</v>
      </c>
      <c r="AL48" s="107">
        <f t="shared" si="14"/>
        <v>5850</v>
      </c>
      <c r="AM48" s="99">
        <v>15</v>
      </c>
      <c r="AN48" s="100">
        <f t="shared" si="6"/>
        <v>9750</v>
      </c>
      <c r="AO48" s="108">
        <f t="shared" si="7"/>
        <v>60</v>
      </c>
      <c r="AP48" s="308">
        <f t="shared" si="8"/>
        <v>17550</v>
      </c>
    </row>
    <row r="49" spans="1:50" ht="20.45" customHeight="1">
      <c r="A49" s="85" t="s">
        <v>940</v>
      </c>
      <c r="B49" s="86">
        <v>212</v>
      </c>
      <c r="C49" s="87" t="s">
        <v>941</v>
      </c>
      <c r="D49" s="88">
        <v>657748</v>
      </c>
      <c r="E49" s="88" t="s">
        <v>1744</v>
      </c>
      <c r="F49" s="89" t="s">
        <v>942</v>
      </c>
      <c r="G49" s="109" t="s">
        <v>943</v>
      </c>
      <c r="H49" s="109"/>
      <c r="I49" s="91">
        <v>1</v>
      </c>
      <c r="J49" s="92" t="s">
        <v>88</v>
      </c>
      <c r="K49" s="93">
        <v>1</v>
      </c>
      <c r="L49" s="93" t="s">
        <v>202</v>
      </c>
      <c r="M49" s="116">
        <f>659*12/10</f>
        <v>790.8</v>
      </c>
      <c r="N49" s="116">
        <f>337/9*12</f>
        <v>449.33333333333331</v>
      </c>
      <c r="O49" s="116">
        <v>681.33333333333337</v>
      </c>
      <c r="P49" s="94">
        <v>700</v>
      </c>
      <c r="Q49" s="95">
        <v>0</v>
      </c>
      <c r="R49" s="96">
        <v>900</v>
      </c>
      <c r="S49" s="110">
        <v>80</v>
      </c>
      <c r="T49" s="98">
        <f t="shared" si="0"/>
        <v>72000</v>
      </c>
      <c r="U49" s="99">
        <v>600</v>
      </c>
      <c r="V49" s="100">
        <f t="shared" si="1"/>
        <v>48000</v>
      </c>
      <c r="W49" s="101">
        <f>200+400</f>
        <v>600</v>
      </c>
      <c r="X49" s="102" t="s">
        <v>174</v>
      </c>
      <c r="Y49" s="103">
        <v>73.5</v>
      </c>
      <c r="Z49" s="103">
        <f>14700+14000+14000</f>
        <v>42700</v>
      </c>
      <c r="AA49" s="99">
        <v>0</v>
      </c>
      <c r="AB49" s="100">
        <f t="shared" si="3"/>
        <v>0</v>
      </c>
      <c r="AC49" s="104"/>
      <c r="AD49" s="105"/>
      <c r="AE49" s="105"/>
      <c r="AF49" s="105"/>
      <c r="AG49" s="99">
        <v>300</v>
      </c>
      <c r="AH49" s="100">
        <f t="shared" si="5"/>
        <v>24000</v>
      </c>
      <c r="AI49" s="106">
        <v>300</v>
      </c>
      <c r="AJ49" s="107" t="s">
        <v>944</v>
      </c>
      <c r="AK49" s="107">
        <v>70</v>
      </c>
      <c r="AL49" s="107">
        <f t="shared" si="14"/>
        <v>21000</v>
      </c>
      <c r="AM49" s="99">
        <v>0</v>
      </c>
      <c r="AN49" s="100">
        <f t="shared" si="6"/>
        <v>0</v>
      </c>
      <c r="AO49" s="108">
        <f t="shared" si="7"/>
        <v>900</v>
      </c>
      <c r="AP49" s="308">
        <f t="shared" si="8"/>
        <v>63700</v>
      </c>
    </row>
    <row r="50" spans="1:50" ht="20.45" customHeight="1">
      <c r="A50" s="169" t="s">
        <v>945</v>
      </c>
      <c r="B50" s="86">
        <v>213</v>
      </c>
      <c r="C50" s="87" t="s">
        <v>946</v>
      </c>
      <c r="D50" s="88">
        <v>992992</v>
      </c>
      <c r="E50" s="88" t="s">
        <v>1744</v>
      </c>
      <c r="F50" s="89" t="s">
        <v>947</v>
      </c>
      <c r="G50" s="109" t="s">
        <v>948</v>
      </c>
      <c r="H50" s="109"/>
      <c r="I50" s="91">
        <v>1</v>
      </c>
      <c r="J50" s="92" t="s">
        <v>88</v>
      </c>
      <c r="K50" s="93">
        <v>1</v>
      </c>
      <c r="L50" s="93" t="s">
        <v>202</v>
      </c>
      <c r="M50" s="116">
        <f>4700/10*12</f>
        <v>5640</v>
      </c>
      <c r="N50" s="116">
        <f>7675/9*12</f>
        <v>10233.333333333334</v>
      </c>
      <c r="O50" s="116">
        <v>12200</v>
      </c>
      <c r="P50" s="94">
        <v>12600</v>
      </c>
      <c r="Q50" s="95">
        <v>600</v>
      </c>
      <c r="R50" s="96">
        <v>13000</v>
      </c>
      <c r="S50" s="97">
        <v>78.11</v>
      </c>
      <c r="T50" s="98">
        <f t="shared" si="0"/>
        <v>1015430</v>
      </c>
      <c r="U50" s="99">
        <v>4000</v>
      </c>
      <c r="V50" s="100">
        <f t="shared" si="1"/>
        <v>312440</v>
      </c>
      <c r="W50" s="101">
        <f>2*2000</f>
        <v>4000</v>
      </c>
      <c r="X50" s="102" t="s">
        <v>944</v>
      </c>
      <c r="Y50" s="103">
        <f>360/5</f>
        <v>72</v>
      </c>
      <c r="Z50" s="103">
        <f t="shared" ref="Z50:Z67" si="15">Y50*W50</f>
        <v>288000</v>
      </c>
      <c r="AA50" s="99">
        <v>3000</v>
      </c>
      <c r="AB50" s="100">
        <f t="shared" si="3"/>
        <v>234330</v>
      </c>
      <c r="AC50" s="104">
        <v>3000</v>
      </c>
      <c r="AD50" s="105" t="s">
        <v>174</v>
      </c>
      <c r="AE50" s="105">
        <f>360/5</f>
        <v>72</v>
      </c>
      <c r="AF50" s="105">
        <f t="shared" ref="AF50:AF57" si="16">AE50*AC50</f>
        <v>216000</v>
      </c>
      <c r="AG50" s="99">
        <v>3000</v>
      </c>
      <c r="AH50" s="100">
        <f t="shared" si="5"/>
        <v>234330</v>
      </c>
      <c r="AI50" s="106">
        <v>3000</v>
      </c>
      <c r="AJ50" s="107" t="s">
        <v>944</v>
      </c>
      <c r="AK50" s="107">
        <v>72</v>
      </c>
      <c r="AL50" s="107">
        <f t="shared" si="14"/>
        <v>216000</v>
      </c>
      <c r="AM50" s="99">
        <v>3000</v>
      </c>
      <c r="AN50" s="100">
        <f t="shared" si="6"/>
        <v>234330</v>
      </c>
      <c r="AO50" s="108">
        <f t="shared" si="7"/>
        <v>13000</v>
      </c>
      <c r="AP50" s="308">
        <f t="shared" si="8"/>
        <v>720000</v>
      </c>
    </row>
    <row r="51" spans="1:50" ht="20.45" customHeight="1">
      <c r="A51" s="85" t="s">
        <v>1004</v>
      </c>
      <c r="B51" s="86">
        <v>228</v>
      </c>
      <c r="C51" s="87" t="s">
        <v>1005</v>
      </c>
      <c r="D51" s="88">
        <v>657846</v>
      </c>
      <c r="E51" s="88" t="s">
        <v>1744</v>
      </c>
      <c r="F51" s="89" t="s">
        <v>1006</v>
      </c>
      <c r="G51" s="109" t="s">
        <v>1007</v>
      </c>
      <c r="H51" s="109"/>
      <c r="I51" s="91">
        <v>1</v>
      </c>
      <c r="J51" s="92" t="s">
        <v>88</v>
      </c>
      <c r="K51" s="93">
        <v>1</v>
      </c>
      <c r="L51" s="93" t="s">
        <v>202</v>
      </c>
      <c r="M51" s="116">
        <f>383/10*12</f>
        <v>459.59999999999997</v>
      </c>
      <c r="N51" s="116">
        <f>180/9*12</f>
        <v>240</v>
      </c>
      <c r="O51" s="116">
        <v>288</v>
      </c>
      <c r="P51" s="94">
        <v>290</v>
      </c>
      <c r="Q51" s="133">
        <v>90</v>
      </c>
      <c r="R51" s="96">
        <f>P51-Q51</f>
        <v>200</v>
      </c>
      <c r="S51" s="110">
        <v>80</v>
      </c>
      <c r="T51" s="98">
        <f t="shared" si="0"/>
        <v>16000</v>
      </c>
      <c r="U51" s="99">
        <v>0</v>
      </c>
      <c r="V51" s="100">
        <f t="shared" si="1"/>
        <v>0</v>
      </c>
      <c r="W51" s="101"/>
      <c r="X51" s="102"/>
      <c r="Y51" s="103"/>
      <c r="Z51" s="103">
        <f t="shared" si="15"/>
        <v>0</v>
      </c>
      <c r="AA51" s="99">
        <v>200</v>
      </c>
      <c r="AB51" s="100">
        <f t="shared" si="3"/>
        <v>16000</v>
      </c>
      <c r="AC51" s="104">
        <v>200</v>
      </c>
      <c r="AD51" s="105" t="s">
        <v>174</v>
      </c>
      <c r="AE51" s="105">
        <v>75.97</v>
      </c>
      <c r="AF51" s="105">
        <f t="shared" si="16"/>
        <v>15194</v>
      </c>
      <c r="AG51" s="99">
        <v>0</v>
      </c>
      <c r="AH51" s="100">
        <f t="shared" si="5"/>
        <v>0</v>
      </c>
      <c r="AI51" s="106">
        <v>200</v>
      </c>
      <c r="AJ51" s="107" t="s">
        <v>944</v>
      </c>
      <c r="AK51" s="124">
        <v>80.25</v>
      </c>
      <c r="AL51" s="107">
        <f t="shared" si="14"/>
        <v>16050</v>
      </c>
      <c r="AM51" s="99">
        <v>0</v>
      </c>
      <c r="AN51" s="100">
        <f t="shared" si="6"/>
        <v>0</v>
      </c>
      <c r="AO51" s="108">
        <f t="shared" si="7"/>
        <v>200</v>
      </c>
      <c r="AP51" s="308">
        <f t="shared" si="8"/>
        <v>31244</v>
      </c>
    </row>
    <row r="52" spans="1:50" ht="20.45" customHeight="1">
      <c r="A52" s="85" t="s">
        <v>1008</v>
      </c>
      <c r="B52" s="86">
        <v>229</v>
      </c>
      <c r="C52" s="87" t="s">
        <v>1009</v>
      </c>
      <c r="D52" s="88">
        <v>992971</v>
      </c>
      <c r="E52" s="88" t="s">
        <v>1744</v>
      </c>
      <c r="F52" s="89" t="s">
        <v>1010</v>
      </c>
      <c r="G52" s="109" t="s">
        <v>1011</v>
      </c>
      <c r="H52" s="109"/>
      <c r="I52" s="91">
        <v>1</v>
      </c>
      <c r="J52" s="92" t="s">
        <v>88</v>
      </c>
      <c r="K52" s="93">
        <v>1</v>
      </c>
      <c r="L52" s="93" t="s">
        <v>202</v>
      </c>
      <c r="M52" s="116">
        <f>10400/10*12</f>
        <v>12480</v>
      </c>
      <c r="N52" s="116">
        <f>9050/9*12</f>
        <v>12066.666666666666</v>
      </c>
      <c r="O52" s="116">
        <v>9700</v>
      </c>
      <c r="P52" s="94">
        <v>9800</v>
      </c>
      <c r="Q52" s="95">
        <v>800</v>
      </c>
      <c r="R52" s="112">
        <v>9500</v>
      </c>
      <c r="S52" s="97">
        <v>78.11</v>
      </c>
      <c r="T52" s="98">
        <f t="shared" si="0"/>
        <v>742045</v>
      </c>
      <c r="U52" s="99">
        <v>3000</v>
      </c>
      <c r="V52" s="100">
        <f t="shared" si="1"/>
        <v>234330</v>
      </c>
      <c r="W52" s="101">
        <v>3000</v>
      </c>
      <c r="X52" s="102" t="s">
        <v>944</v>
      </c>
      <c r="Y52" s="103">
        <v>72</v>
      </c>
      <c r="Z52" s="103">
        <f t="shared" si="15"/>
        <v>216000</v>
      </c>
      <c r="AA52" s="99">
        <v>2500</v>
      </c>
      <c r="AB52" s="100">
        <f t="shared" si="3"/>
        <v>195275</v>
      </c>
      <c r="AC52" s="104">
        <v>2500</v>
      </c>
      <c r="AD52" s="105" t="s">
        <v>944</v>
      </c>
      <c r="AE52" s="105">
        <v>72</v>
      </c>
      <c r="AF52" s="105">
        <f t="shared" si="16"/>
        <v>180000</v>
      </c>
      <c r="AG52" s="99">
        <v>2000</v>
      </c>
      <c r="AH52" s="100">
        <f t="shared" si="5"/>
        <v>156220</v>
      </c>
      <c r="AI52" s="106">
        <v>2000</v>
      </c>
      <c r="AJ52" s="107" t="s">
        <v>944</v>
      </c>
      <c r="AK52" s="107">
        <v>72</v>
      </c>
      <c r="AL52" s="107">
        <f t="shared" si="14"/>
        <v>144000</v>
      </c>
      <c r="AM52" s="99">
        <v>2000</v>
      </c>
      <c r="AN52" s="100">
        <f t="shared" si="6"/>
        <v>156220</v>
      </c>
      <c r="AO52" s="108">
        <f t="shared" si="7"/>
        <v>9500</v>
      </c>
      <c r="AP52" s="308">
        <f t="shared" si="8"/>
        <v>540000</v>
      </c>
    </row>
    <row r="53" spans="1:50" s="126" customFormat="1" ht="20.45" customHeight="1">
      <c r="A53" s="85" t="s">
        <v>1017</v>
      </c>
      <c r="B53" s="86">
        <v>231</v>
      </c>
      <c r="C53" s="87" t="s">
        <v>1018</v>
      </c>
      <c r="D53" s="88">
        <v>727267</v>
      </c>
      <c r="E53" s="88" t="s">
        <v>1744</v>
      </c>
      <c r="F53" s="89" t="s">
        <v>1019</v>
      </c>
      <c r="G53" s="109" t="s">
        <v>1020</v>
      </c>
      <c r="H53" s="109" t="s">
        <v>110</v>
      </c>
      <c r="I53" s="91">
        <v>1</v>
      </c>
      <c r="J53" s="92" t="s">
        <v>184</v>
      </c>
      <c r="K53" s="93">
        <v>1000</v>
      </c>
      <c r="L53" s="93" t="s">
        <v>185</v>
      </c>
      <c r="M53" s="116">
        <f>379/10*12</f>
        <v>454.79999999999995</v>
      </c>
      <c r="N53" s="116">
        <f>340/9*12</f>
        <v>453.33333333333337</v>
      </c>
      <c r="O53" s="116">
        <v>460</v>
      </c>
      <c r="P53" s="94">
        <v>460</v>
      </c>
      <c r="Q53" s="95">
        <v>60</v>
      </c>
      <c r="R53" s="96">
        <f>P53-Q53</f>
        <v>400</v>
      </c>
      <c r="S53" s="131">
        <v>550</v>
      </c>
      <c r="T53" s="98">
        <f t="shared" si="0"/>
        <v>220000</v>
      </c>
      <c r="U53" s="99">
        <v>100</v>
      </c>
      <c r="V53" s="100">
        <f t="shared" si="1"/>
        <v>55000</v>
      </c>
      <c r="W53" s="101">
        <v>100</v>
      </c>
      <c r="X53" s="102" t="s">
        <v>110</v>
      </c>
      <c r="Y53" s="103">
        <v>550</v>
      </c>
      <c r="Z53" s="103">
        <f t="shared" si="15"/>
        <v>55000</v>
      </c>
      <c r="AA53" s="99">
        <v>100</v>
      </c>
      <c r="AB53" s="100">
        <f t="shared" si="3"/>
        <v>55000</v>
      </c>
      <c r="AC53" s="104">
        <v>100</v>
      </c>
      <c r="AD53" s="105" t="s">
        <v>110</v>
      </c>
      <c r="AE53" s="105">
        <v>550</v>
      </c>
      <c r="AF53" s="105">
        <f t="shared" si="16"/>
        <v>55000</v>
      </c>
      <c r="AG53" s="99">
        <v>100</v>
      </c>
      <c r="AH53" s="100">
        <f t="shared" si="5"/>
        <v>55000</v>
      </c>
      <c r="AI53" s="106">
        <v>100</v>
      </c>
      <c r="AJ53" s="107" t="s">
        <v>110</v>
      </c>
      <c r="AK53" s="107">
        <v>550</v>
      </c>
      <c r="AL53" s="107">
        <f t="shared" si="14"/>
        <v>55000</v>
      </c>
      <c r="AM53" s="99">
        <v>100</v>
      </c>
      <c r="AN53" s="100">
        <f t="shared" si="6"/>
        <v>55000</v>
      </c>
      <c r="AO53" s="108">
        <f t="shared" si="7"/>
        <v>400</v>
      </c>
      <c r="AP53" s="308">
        <f t="shared" si="8"/>
        <v>165000</v>
      </c>
      <c r="AQ53" s="3"/>
      <c r="AR53" s="3"/>
      <c r="AS53" s="3"/>
      <c r="AT53" s="3"/>
      <c r="AU53" s="3"/>
      <c r="AV53" s="3"/>
      <c r="AW53" s="3"/>
      <c r="AX53" s="3"/>
    </row>
    <row r="54" spans="1:50" ht="20.45" customHeight="1">
      <c r="A54" s="85" t="s">
        <v>1106</v>
      </c>
      <c r="B54" s="86">
        <v>253</v>
      </c>
      <c r="C54" s="87">
        <v>469102</v>
      </c>
      <c r="D54" s="88">
        <v>230549</v>
      </c>
      <c r="E54" s="88" t="s">
        <v>1744</v>
      </c>
      <c r="F54" s="117" t="s">
        <v>1107</v>
      </c>
      <c r="G54" s="109" t="s">
        <v>1108</v>
      </c>
      <c r="H54" s="109"/>
      <c r="I54" s="91">
        <v>1</v>
      </c>
      <c r="J54" s="92" t="s">
        <v>83</v>
      </c>
      <c r="K54" s="93">
        <v>100</v>
      </c>
      <c r="L54" s="93" t="s">
        <v>84</v>
      </c>
      <c r="M54" s="116">
        <f>855/10*12</f>
        <v>1026</v>
      </c>
      <c r="N54" s="116">
        <f>910/9*12</f>
        <v>1213.3333333333335</v>
      </c>
      <c r="O54" s="116">
        <v>1418.6666666666667</v>
      </c>
      <c r="P54" s="94">
        <v>1470</v>
      </c>
      <c r="Q54" s="95">
        <v>170</v>
      </c>
      <c r="R54" s="112">
        <v>1600</v>
      </c>
      <c r="S54" s="131">
        <v>60</v>
      </c>
      <c r="T54" s="98">
        <f t="shared" si="0"/>
        <v>96000</v>
      </c>
      <c r="U54" s="99">
        <v>700</v>
      </c>
      <c r="V54" s="100">
        <f t="shared" si="1"/>
        <v>42000</v>
      </c>
      <c r="W54" s="101">
        <f>300+400</f>
        <v>700</v>
      </c>
      <c r="X54" s="102" t="s">
        <v>285</v>
      </c>
      <c r="Y54" s="103">
        <v>52</v>
      </c>
      <c r="Z54" s="103">
        <f t="shared" si="15"/>
        <v>36400</v>
      </c>
      <c r="AA54" s="99">
        <v>300</v>
      </c>
      <c r="AB54" s="100">
        <f t="shared" si="3"/>
        <v>18000</v>
      </c>
      <c r="AC54" s="104">
        <v>300</v>
      </c>
      <c r="AD54" s="105" t="s">
        <v>285</v>
      </c>
      <c r="AE54" s="105">
        <v>52</v>
      </c>
      <c r="AF54" s="105">
        <f t="shared" si="16"/>
        <v>15600</v>
      </c>
      <c r="AG54" s="99">
        <v>300</v>
      </c>
      <c r="AH54" s="100">
        <f t="shared" si="5"/>
        <v>18000</v>
      </c>
      <c r="AI54" s="106">
        <v>300</v>
      </c>
      <c r="AJ54" s="107" t="s">
        <v>285</v>
      </c>
      <c r="AK54" s="107">
        <v>52</v>
      </c>
      <c r="AL54" s="107">
        <f t="shared" si="14"/>
        <v>15600</v>
      </c>
      <c r="AM54" s="99">
        <v>300</v>
      </c>
      <c r="AN54" s="100">
        <f t="shared" si="6"/>
        <v>18000</v>
      </c>
      <c r="AO54" s="108">
        <f t="shared" si="7"/>
        <v>1600</v>
      </c>
      <c r="AP54" s="308">
        <f t="shared" si="8"/>
        <v>67600</v>
      </c>
    </row>
    <row r="55" spans="1:50" ht="20.45" customHeight="1">
      <c r="A55" s="85" t="s">
        <v>1124</v>
      </c>
      <c r="B55" s="86">
        <v>258</v>
      </c>
      <c r="C55" s="87" t="s">
        <v>1125</v>
      </c>
      <c r="D55" s="88">
        <v>254281</v>
      </c>
      <c r="E55" s="88" t="s">
        <v>1744</v>
      </c>
      <c r="F55" s="89" t="s">
        <v>1126</v>
      </c>
      <c r="G55" s="109" t="s">
        <v>1127</v>
      </c>
      <c r="H55" s="109"/>
      <c r="I55" s="91">
        <v>1</v>
      </c>
      <c r="J55" s="92" t="s">
        <v>83</v>
      </c>
      <c r="K55" s="93">
        <v>1000</v>
      </c>
      <c r="L55" s="93" t="s">
        <v>84</v>
      </c>
      <c r="M55" s="116">
        <f>102.7/10*12</f>
        <v>123.24</v>
      </c>
      <c r="N55" s="116">
        <f>118.5/9*12</f>
        <v>158</v>
      </c>
      <c r="O55" s="116">
        <v>196.93333333333331</v>
      </c>
      <c r="P55" s="94">
        <v>206</v>
      </c>
      <c r="Q55" s="95">
        <v>26</v>
      </c>
      <c r="R55" s="96">
        <f>P55-Q55</f>
        <v>180</v>
      </c>
      <c r="S55" s="97">
        <v>570</v>
      </c>
      <c r="T55" s="98">
        <f t="shared" si="0"/>
        <v>102600</v>
      </c>
      <c r="U55" s="99">
        <v>50</v>
      </c>
      <c r="V55" s="100">
        <f t="shared" si="1"/>
        <v>28500</v>
      </c>
      <c r="W55" s="101">
        <v>50</v>
      </c>
      <c r="X55" s="102" t="s">
        <v>902</v>
      </c>
      <c r="Y55" s="103">
        <v>567.1</v>
      </c>
      <c r="Z55" s="103">
        <f t="shared" si="15"/>
        <v>28355</v>
      </c>
      <c r="AA55" s="99">
        <v>40</v>
      </c>
      <c r="AB55" s="100">
        <f t="shared" si="3"/>
        <v>22800</v>
      </c>
      <c r="AC55" s="104">
        <v>40</v>
      </c>
      <c r="AD55" s="105" t="s">
        <v>902</v>
      </c>
      <c r="AE55" s="105">
        <v>567.1</v>
      </c>
      <c r="AF55" s="105">
        <f t="shared" si="16"/>
        <v>22684</v>
      </c>
      <c r="AG55" s="99">
        <v>50</v>
      </c>
      <c r="AH55" s="100">
        <f t="shared" si="5"/>
        <v>28500</v>
      </c>
      <c r="AI55" s="106">
        <v>50</v>
      </c>
      <c r="AJ55" s="107" t="s">
        <v>902</v>
      </c>
      <c r="AK55" s="107">
        <v>567.1</v>
      </c>
      <c r="AL55" s="107">
        <f t="shared" si="14"/>
        <v>28355</v>
      </c>
      <c r="AM55" s="99">
        <v>40</v>
      </c>
      <c r="AN55" s="100">
        <f t="shared" si="6"/>
        <v>22800</v>
      </c>
      <c r="AO55" s="108">
        <f t="shared" si="7"/>
        <v>180</v>
      </c>
      <c r="AP55" s="308">
        <f t="shared" si="8"/>
        <v>79394</v>
      </c>
    </row>
    <row r="56" spans="1:50" s="136" customFormat="1" ht="20.45" customHeight="1">
      <c r="A56" s="85" t="s">
        <v>1133</v>
      </c>
      <c r="B56" s="86">
        <v>260</v>
      </c>
      <c r="C56" s="87" t="s">
        <v>1134</v>
      </c>
      <c r="D56" s="88">
        <v>235795</v>
      </c>
      <c r="E56" s="88" t="s">
        <v>1745</v>
      </c>
      <c r="F56" s="89" t="s">
        <v>1135</v>
      </c>
      <c r="G56" s="113" t="s">
        <v>1136</v>
      </c>
      <c r="H56" s="113" t="s">
        <v>110</v>
      </c>
      <c r="I56" s="114">
        <v>1</v>
      </c>
      <c r="J56" s="118" t="s">
        <v>83</v>
      </c>
      <c r="K56" s="115">
        <v>1000</v>
      </c>
      <c r="L56" s="115" t="s">
        <v>84</v>
      </c>
      <c r="M56" s="116">
        <f>83.4*12/10</f>
        <v>100.08000000000001</v>
      </c>
      <c r="N56" s="116">
        <f>69/9*12</f>
        <v>92</v>
      </c>
      <c r="O56" s="116">
        <v>84</v>
      </c>
      <c r="P56" s="94">
        <v>84</v>
      </c>
      <c r="Q56" s="95">
        <v>4</v>
      </c>
      <c r="R56" s="145">
        <v>60</v>
      </c>
      <c r="S56" s="97">
        <v>250</v>
      </c>
      <c r="T56" s="98">
        <f t="shared" si="0"/>
        <v>15000</v>
      </c>
      <c r="U56" s="138">
        <v>0</v>
      </c>
      <c r="V56" s="100">
        <f t="shared" si="1"/>
        <v>0</v>
      </c>
      <c r="W56" s="101"/>
      <c r="X56" s="102"/>
      <c r="Y56" s="103"/>
      <c r="Z56" s="103">
        <f t="shared" si="15"/>
        <v>0</v>
      </c>
      <c r="AA56" s="138">
        <v>20</v>
      </c>
      <c r="AB56" s="100">
        <f t="shared" si="3"/>
        <v>5000</v>
      </c>
      <c r="AC56" s="104">
        <v>18</v>
      </c>
      <c r="AD56" s="105" t="s">
        <v>110</v>
      </c>
      <c r="AE56" s="105">
        <f>125*2</f>
        <v>250</v>
      </c>
      <c r="AF56" s="105">
        <f t="shared" si="16"/>
        <v>4500</v>
      </c>
      <c r="AG56" s="138">
        <v>20</v>
      </c>
      <c r="AH56" s="100">
        <f t="shared" si="5"/>
        <v>5000</v>
      </c>
      <c r="AI56" s="106">
        <v>2</v>
      </c>
      <c r="AJ56" s="107" t="s">
        <v>110</v>
      </c>
      <c r="AK56" s="107">
        <v>250</v>
      </c>
      <c r="AL56" s="107">
        <f t="shared" si="14"/>
        <v>500</v>
      </c>
      <c r="AM56" s="138">
        <v>20</v>
      </c>
      <c r="AN56" s="100">
        <f t="shared" si="6"/>
        <v>5000</v>
      </c>
      <c r="AO56" s="108">
        <f t="shared" si="7"/>
        <v>60</v>
      </c>
      <c r="AP56" s="308">
        <f t="shared" si="8"/>
        <v>5000</v>
      </c>
      <c r="AQ56" s="3"/>
      <c r="AR56" s="3"/>
      <c r="AS56" s="3"/>
      <c r="AT56" s="3"/>
      <c r="AU56" s="3"/>
      <c r="AV56" s="3"/>
      <c r="AW56" s="3"/>
      <c r="AX56" s="3"/>
    </row>
    <row r="57" spans="1:50" ht="20.45" customHeight="1">
      <c r="A57" s="85" t="s">
        <v>1190</v>
      </c>
      <c r="B57" s="86">
        <v>274</v>
      </c>
      <c r="C57" s="87" t="s">
        <v>1191</v>
      </c>
      <c r="D57" s="88">
        <v>527368</v>
      </c>
      <c r="E57" s="88" t="s">
        <v>1744</v>
      </c>
      <c r="F57" s="89" t="s">
        <v>1192</v>
      </c>
      <c r="G57" s="109" t="s">
        <v>1193</v>
      </c>
      <c r="H57" s="109" t="s">
        <v>169</v>
      </c>
      <c r="I57" s="91">
        <v>1</v>
      </c>
      <c r="J57" s="92" t="s">
        <v>272</v>
      </c>
      <c r="K57" s="93">
        <v>1</v>
      </c>
      <c r="L57" s="93" t="s">
        <v>196</v>
      </c>
      <c r="M57" s="116">
        <f>2121/10*12</f>
        <v>2545.1999999999998</v>
      </c>
      <c r="N57" s="116">
        <f>1784/9*12</f>
        <v>2378.666666666667</v>
      </c>
      <c r="O57" s="116">
        <v>2360</v>
      </c>
      <c r="P57" s="94">
        <v>2400</v>
      </c>
      <c r="Q57" s="95">
        <v>400</v>
      </c>
      <c r="R57" s="96">
        <f>P57-Q57</f>
        <v>2000</v>
      </c>
      <c r="S57" s="97">
        <v>45.62</v>
      </c>
      <c r="T57" s="98">
        <f t="shared" si="0"/>
        <v>91240</v>
      </c>
      <c r="U57" s="99">
        <v>500</v>
      </c>
      <c r="V57" s="100">
        <f t="shared" si="1"/>
        <v>22810</v>
      </c>
      <c r="W57" s="101">
        <v>500</v>
      </c>
      <c r="X57" s="102" t="s">
        <v>509</v>
      </c>
      <c r="Y57" s="103">
        <f>146/5</f>
        <v>29.2</v>
      </c>
      <c r="Z57" s="103">
        <f t="shared" si="15"/>
        <v>14600</v>
      </c>
      <c r="AA57" s="99">
        <v>500</v>
      </c>
      <c r="AB57" s="100">
        <f t="shared" si="3"/>
        <v>22810</v>
      </c>
      <c r="AC57" s="104">
        <v>500</v>
      </c>
      <c r="AD57" s="105" t="s">
        <v>509</v>
      </c>
      <c r="AE57" s="105">
        <v>29.2</v>
      </c>
      <c r="AF57" s="105">
        <f t="shared" si="16"/>
        <v>14600</v>
      </c>
      <c r="AG57" s="99">
        <v>500</v>
      </c>
      <c r="AH57" s="100">
        <f t="shared" si="5"/>
        <v>22810</v>
      </c>
      <c r="AI57" s="106">
        <v>500</v>
      </c>
      <c r="AJ57" s="107" t="s">
        <v>509</v>
      </c>
      <c r="AK57" s="107">
        <v>29.2</v>
      </c>
      <c r="AL57" s="107">
        <f t="shared" si="14"/>
        <v>14600</v>
      </c>
      <c r="AM57" s="99">
        <v>500</v>
      </c>
      <c r="AN57" s="100">
        <f t="shared" si="6"/>
        <v>22810</v>
      </c>
      <c r="AO57" s="108">
        <f t="shared" si="7"/>
        <v>2000</v>
      </c>
      <c r="AP57" s="308">
        <f t="shared" si="8"/>
        <v>43800</v>
      </c>
    </row>
    <row r="58" spans="1:50" ht="20.45" customHeight="1">
      <c r="A58" s="85" t="s">
        <v>1206</v>
      </c>
      <c r="B58" s="86">
        <v>278</v>
      </c>
      <c r="C58" s="87" t="s">
        <v>1207</v>
      </c>
      <c r="D58" s="88">
        <v>816614</v>
      </c>
      <c r="E58" s="88" t="s">
        <v>1744</v>
      </c>
      <c r="F58" s="89" t="s">
        <v>1208</v>
      </c>
      <c r="G58" s="109" t="s">
        <v>1209</v>
      </c>
      <c r="H58" s="109" t="s">
        <v>169</v>
      </c>
      <c r="I58" s="91">
        <v>1</v>
      </c>
      <c r="J58" s="92" t="s">
        <v>272</v>
      </c>
      <c r="K58" s="93">
        <v>1</v>
      </c>
      <c r="L58" s="93" t="s">
        <v>52</v>
      </c>
      <c r="M58" s="116">
        <f>2630*12/10</f>
        <v>3156</v>
      </c>
      <c r="N58" s="116">
        <f>3600/9*12</f>
        <v>4800</v>
      </c>
      <c r="O58" s="116">
        <v>5408</v>
      </c>
      <c r="P58" s="94">
        <v>5420</v>
      </c>
      <c r="Q58" s="95">
        <v>420</v>
      </c>
      <c r="R58" s="96">
        <f>P58-Q58</f>
        <v>5000</v>
      </c>
      <c r="S58" s="131">
        <v>130</v>
      </c>
      <c r="T58" s="98">
        <f t="shared" si="0"/>
        <v>650000</v>
      </c>
      <c r="U58" s="99">
        <v>1500</v>
      </c>
      <c r="V58" s="100">
        <f t="shared" si="1"/>
        <v>195000</v>
      </c>
      <c r="W58" s="101">
        <v>1500</v>
      </c>
      <c r="X58" s="102" t="s">
        <v>1210</v>
      </c>
      <c r="Y58" s="103">
        <v>115.2925</v>
      </c>
      <c r="Z58" s="103">
        <f t="shared" si="15"/>
        <v>172938.75</v>
      </c>
      <c r="AA58" s="99">
        <v>1000</v>
      </c>
      <c r="AB58" s="100">
        <f t="shared" si="3"/>
        <v>130000</v>
      </c>
      <c r="AC58" s="104"/>
      <c r="AD58" s="105"/>
      <c r="AE58" s="105"/>
      <c r="AF58" s="105"/>
      <c r="AG58" s="99">
        <v>1500</v>
      </c>
      <c r="AH58" s="100">
        <f t="shared" si="5"/>
        <v>195000</v>
      </c>
      <c r="AI58" s="106">
        <v>1500</v>
      </c>
      <c r="AJ58" s="107" t="s">
        <v>1210</v>
      </c>
      <c r="AK58" s="107">
        <v>115.2925</v>
      </c>
      <c r="AL58" s="107">
        <f t="shared" si="14"/>
        <v>172938.75</v>
      </c>
      <c r="AM58" s="99">
        <v>1000</v>
      </c>
      <c r="AN58" s="100">
        <f t="shared" si="6"/>
        <v>130000</v>
      </c>
      <c r="AO58" s="108">
        <f t="shared" si="7"/>
        <v>5000</v>
      </c>
      <c r="AP58" s="308">
        <f t="shared" si="8"/>
        <v>345877.5</v>
      </c>
    </row>
    <row r="59" spans="1:50" ht="20.45" customHeight="1">
      <c r="A59" s="85" t="s">
        <v>1229</v>
      </c>
      <c r="B59" s="86">
        <v>283</v>
      </c>
      <c r="C59" s="87" t="s">
        <v>1230</v>
      </c>
      <c r="D59" s="88">
        <v>208621</v>
      </c>
      <c r="E59" s="88" t="s">
        <v>1744</v>
      </c>
      <c r="F59" s="89" t="s">
        <v>1231</v>
      </c>
      <c r="G59" s="109" t="s">
        <v>1232</v>
      </c>
      <c r="H59" s="109" t="s">
        <v>305</v>
      </c>
      <c r="I59" s="91">
        <v>1</v>
      </c>
      <c r="J59" s="92" t="s">
        <v>83</v>
      </c>
      <c r="K59" s="93">
        <v>1000</v>
      </c>
      <c r="L59" s="93" t="s">
        <v>84</v>
      </c>
      <c r="M59" s="116">
        <f>1553*12/10</f>
        <v>1863.6</v>
      </c>
      <c r="N59" s="116">
        <f>1531/9*12</f>
        <v>2041.3333333333335</v>
      </c>
      <c r="O59" s="116">
        <v>2156</v>
      </c>
      <c r="P59" s="94">
        <v>2180</v>
      </c>
      <c r="Q59" s="95">
        <v>180</v>
      </c>
      <c r="R59" s="96">
        <f>P59-Q59</f>
        <v>2000</v>
      </c>
      <c r="S59" s="131">
        <v>481.5</v>
      </c>
      <c r="T59" s="98">
        <f t="shared" si="0"/>
        <v>963000</v>
      </c>
      <c r="U59" s="99">
        <v>500</v>
      </c>
      <c r="V59" s="100">
        <f t="shared" si="1"/>
        <v>240750</v>
      </c>
      <c r="W59" s="101">
        <v>500</v>
      </c>
      <c r="X59" s="102" t="s">
        <v>174</v>
      </c>
      <c r="Y59" s="103">
        <v>450</v>
      </c>
      <c r="Z59" s="103">
        <f t="shared" si="15"/>
        <v>225000</v>
      </c>
      <c r="AA59" s="99">
        <v>500</v>
      </c>
      <c r="AB59" s="100">
        <f t="shared" si="3"/>
        <v>240750</v>
      </c>
      <c r="AC59" s="104">
        <v>500</v>
      </c>
      <c r="AD59" s="105" t="s">
        <v>174</v>
      </c>
      <c r="AE59" s="105">
        <v>450</v>
      </c>
      <c r="AF59" s="105">
        <f t="shared" ref="AF59:AF67" si="17">AE59*AC59</f>
        <v>225000</v>
      </c>
      <c r="AG59" s="99">
        <v>500</v>
      </c>
      <c r="AH59" s="100">
        <f t="shared" si="5"/>
        <v>240750</v>
      </c>
      <c r="AI59" s="106">
        <v>500</v>
      </c>
      <c r="AJ59" s="107" t="s">
        <v>174</v>
      </c>
      <c r="AK59" s="107">
        <v>450</v>
      </c>
      <c r="AL59" s="107">
        <f t="shared" si="14"/>
        <v>225000</v>
      </c>
      <c r="AM59" s="99">
        <v>500</v>
      </c>
      <c r="AN59" s="100">
        <f t="shared" si="6"/>
        <v>240750</v>
      </c>
      <c r="AO59" s="108">
        <f t="shared" si="7"/>
        <v>2000</v>
      </c>
      <c r="AP59" s="308">
        <f t="shared" si="8"/>
        <v>675000</v>
      </c>
    </row>
    <row r="60" spans="1:50" ht="20.45" customHeight="1">
      <c r="A60" s="85" t="s">
        <v>1233</v>
      </c>
      <c r="B60" s="86">
        <v>284</v>
      </c>
      <c r="C60" s="87" t="s">
        <v>1234</v>
      </c>
      <c r="D60" s="88">
        <v>760187</v>
      </c>
      <c r="E60" s="88" t="s">
        <v>1744</v>
      </c>
      <c r="F60" s="89" t="s">
        <v>1235</v>
      </c>
      <c r="G60" s="109" t="s">
        <v>1236</v>
      </c>
      <c r="H60" s="109"/>
      <c r="I60" s="91">
        <v>1</v>
      </c>
      <c r="J60" s="92" t="s">
        <v>83</v>
      </c>
      <c r="K60" s="93">
        <v>1000</v>
      </c>
      <c r="L60" s="93" t="s">
        <v>84</v>
      </c>
      <c r="M60" s="116">
        <f>644/10*12</f>
        <v>772.80000000000007</v>
      </c>
      <c r="N60" s="116">
        <f>524/9*12</f>
        <v>698.66666666666663</v>
      </c>
      <c r="O60" s="116">
        <v>750.66666666666663</v>
      </c>
      <c r="P60" s="94">
        <v>826</v>
      </c>
      <c r="Q60" s="95">
        <v>126</v>
      </c>
      <c r="R60" s="96">
        <f>P60-Q60</f>
        <v>700</v>
      </c>
      <c r="S60" s="125">
        <v>194</v>
      </c>
      <c r="T60" s="98">
        <f t="shared" si="0"/>
        <v>135800</v>
      </c>
      <c r="U60" s="99">
        <v>200</v>
      </c>
      <c r="V60" s="100">
        <f t="shared" si="1"/>
        <v>38800</v>
      </c>
      <c r="W60" s="101">
        <v>200</v>
      </c>
      <c r="X60" s="102" t="s">
        <v>483</v>
      </c>
      <c r="Y60" s="103">
        <v>192</v>
      </c>
      <c r="Z60" s="103">
        <f t="shared" si="15"/>
        <v>38400</v>
      </c>
      <c r="AA60" s="99">
        <v>200</v>
      </c>
      <c r="AB60" s="100">
        <f t="shared" si="3"/>
        <v>38800</v>
      </c>
      <c r="AC60" s="104">
        <v>200</v>
      </c>
      <c r="AD60" s="105" t="s">
        <v>483</v>
      </c>
      <c r="AE60" s="105">
        <v>192</v>
      </c>
      <c r="AF60" s="105">
        <f t="shared" si="17"/>
        <v>38400</v>
      </c>
      <c r="AG60" s="99">
        <v>150</v>
      </c>
      <c r="AH60" s="100">
        <f t="shared" si="5"/>
        <v>29100</v>
      </c>
      <c r="AI60" s="106">
        <v>150</v>
      </c>
      <c r="AJ60" s="107" t="s">
        <v>483</v>
      </c>
      <c r="AK60" s="107">
        <v>192</v>
      </c>
      <c r="AL60" s="107">
        <f t="shared" si="14"/>
        <v>28800</v>
      </c>
      <c r="AM60" s="99">
        <v>150</v>
      </c>
      <c r="AN60" s="100">
        <f t="shared" si="6"/>
        <v>29100</v>
      </c>
      <c r="AO60" s="108">
        <f t="shared" si="7"/>
        <v>700</v>
      </c>
      <c r="AP60" s="308">
        <f t="shared" si="8"/>
        <v>105600</v>
      </c>
    </row>
    <row r="61" spans="1:50" s="140" customFormat="1" ht="20.45" customHeight="1">
      <c r="A61" s="85" t="s">
        <v>1241</v>
      </c>
      <c r="B61" s="86">
        <v>286</v>
      </c>
      <c r="C61" s="87">
        <v>760207</v>
      </c>
      <c r="D61" s="88">
        <v>698204</v>
      </c>
      <c r="E61" s="88" t="s">
        <v>1744</v>
      </c>
      <c r="F61" s="89" t="s">
        <v>1242</v>
      </c>
      <c r="G61" s="109" t="s">
        <v>1243</v>
      </c>
      <c r="H61" s="109"/>
      <c r="I61" s="91">
        <v>1</v>
      </c>
      <c r="J61" s="92" t="s">
        <v>83</v>
      </c>
      <c r="K61" s="93">
        <v>1000</v>
      </c>
      <c r="L61" s="93" t="s">
        <v>84</v>
      </c>
      <c r="M61" s="116">
        <f>55*12/10</f>
        <v>66</v>
      </c>
      <c r="N61" s="116">
        <f>53/9*12</f>
        <v>70.666666666666671</v>
      </c>
      <c r="O61" s="116">
        <v>63.666666666666664</v>
      </c>
      <c r="P61" s="94">
        <v>65</v>
      </c>
      <c r="Q61" s="95">
        <v>5</v>
      </c>
      <c r="R61" s="112">
        <v>150</v>
      </c>
      <c r="S61" s="97">
        <v>480</v>
      </c>
      <c r="T61" s="98">
        <f t="shared" si="0"/>
        <v>72000</v>
      </c>
      <c r="U61" s="99">
        <v>30</v>
      </c>
      <c r="V61" s="100">
        <f t="shared" si="1"/>
        <v>14400</v>
      </c>
      <c r="W61" s="101">
        <f>10+20</f>
        <v>30</v>
      </c>
      <c r="X61" s="102" t="s">
        <v>101</v>
      </c>
      <c r="Y61" s="103">
        <v>440</v>
      </c>
      <c r="Z61" s="103">
        <f t="shared" si="15"/>
        <v>13200</v>
      </c>
      <c r="AA61" s="99">
        <v>60</v>
      </c>
      <c r="AB61" s="100">
        <f t="shared" si="3"/>
        <v>28800</v>
      </c>
      <c r="AC61" s="104">
        <v>60</v>
      </c>
      <c r="AD61" s="105" t="s">
        <v>101</v>
      </c>
      <c r="AE61" s="105">
        <v>440</v>
      </c>
      <c r="AF61" s="105">
        <f t="shared" si="17"/>
        <v>26400</v>
      </c>
      <c r="AG61" s="99">
        <v>30</v>
      </c>
      <c r="AH61" s="100">
        <f t="shared" si="5"/>
        <v>14400</v>
      </c>
      <c r="AI61" s="106"/>
      <c r="AJ61" s="107"/>
      <c r="AK61" s="107"/>
      <c r="AL61" s="107">
        <f t="shared" si="14"/>
        <v>0</v>
      </c>
      <c r="AM61" s="99">
        <v>30</v>
      </c>
      <c r="AN61" s="100">
        <f t="shared" si="6"/>
        <v>14400</v>
      </c>
      <c r="AO61" s="108">
        <f t="shared" si="7"/>
        <v>150</v>
      </c>
      <c r="AP61" s="308">
        <f t="shared" si="8"/>
        <v>39600</v>
      </c>
      <c r="AQ61" s="3"/>
      <c r="AR61" s="3"/>
      <c r="AS61" s="3"/>
    </row>
    <row r="62" spans="1:50" s="140" customFormat="1" ht="20.45" customHeight="1">
      <c r="A62" s="85" t="s">
        <v>1292</v>
      </c>
      <c r="B62" s="86">
        <v>299</v>
      </c>
      <c r="C62" s="87" t="s">
        <v>1293</v>
      </c>
      <c r="D62" s="88">
        <v>395867</v>
      </c>
      <c r="E62" s="88" t="s">
        <v>1744</v>
      </c>
      <c r="F62" s="89" t="s">
        <v>1294</v>
      </c>
      <c r="G62" s="109" t="s">
        <v>1295</v>
      </c>
      <c r="H62" s="109"/>
      <c r="I62" s="91">
        <v>1</v>
      </c>
      <c r="J62" s="92" t="s">
        <v>83</v>
      </c>
      <c r="K62" s="93">
        <v>1000</v>
      </c>
      <c r="L62" s="93" t="s">
        <v>84</v>
      </c>
      <c r="M62" s="116">
        <f>68.6*12/10</f>
        <v>82.32</v>
      </c>
      <c r="N62" s="116">
        <f>63.2/9*12</f>
        <v>84.266666666666666</v>
      </c>
      <c r="O62" s="116">
        <v>83.066666666666663</v>
      </c>
      <c r="P62" s="94">
        <v>84</v>
      </c>
      <c r="Q62" s="95">
        <v>9</v>
      </c>
      <c r="R62" s="96">
        <f>P62-Q62</f>
        <v>75</v>
      </c>
      <c r="S62" s="110">
        <v>900</v>
      </c>
      <c r="T62" s="98">
        <f t="shared" si="0"/>
        <v>67500</v>
      </c>
      <c r="U62" s="99">
        <v>20</v>
      </c>
      <c r="V62" s="100">
        <f t="shared" si="1"/>
        <v>18000</v>
      </c>
      <c r="W62" s="101">
        <v>20</v>
      </c>
      <c r="X62" s="102" t="s">
        <v>203</v>
      </c>
      <c r="Y62" s="103">
        <v>898.8</v>
      </c>
      <c r="Z62" s="103">
        <f t="shared" si="15"/>
        <v>17976</v>
      </c>
      <c r="AA62" s="99">
        <v>20</v>
      </c>
      <c r="AB62" s="100">
        <f t="shared" si="3"/>
        <v>18000</v>
      </c>
      <c r="AC62" s="104">
        <v>20</v>
      </c>
      <c r="AD62" s="105" t="s">
        <v>203</v>
      </c>
      <c r="AE62" s="105">
        <v>898.8</v>
      </c>
      <c r="AF62" s="105">
        <f t="shared" si="17"/>
        <v>17976</v>
      </c>
      <c r="AG62" s="99">
        <v>20</v>
      </c>
      <c r="AH62" s="100">
        <f t="shared" si="5"/>
        <v>18000</v>
      </c>
      <c r="AI62" s="106">
        <v>20</v>
      </c>
      <c r="AJ62" s="107" t="s">
        <v>203</v>
      </c>
      <c r="AK62" s="107">
        <v>898.8</v>
      </c>
      <c r="AL62" s="107">
        <f t="shared" si="14"/>
        <v>17976</v>
      </c>
      <c r="AM62" s="99">
        <v>15</v>
      </c>
      <c r="AN62" s="100">
        <f t="shared" si="6"/>
        <v>13500</v>
      </c>
      <c r="AO62" s="108">
        <f t="shared" si="7"/>
        <v>75</v>
      </c>
      <c r="AP62" s="308">
        <f t="shared" si="8"/>
        <v>53928</v>
      </c>
      <c r="AQ62" s="3"/>
      <c r="AR62" s="3"/>
      <c r="AS62" s="3"/>
    </row>
    <row r="63" spans="1:50" s="140" customFormat="1" ht="20.45" customHeight="1">
      <c r="A63" s="85" t="s">
        <v>1366</v>
      </c>
      <c r="B63" s="86">
        <v>317</v>
      </c>
      <c r="C63" s="87" t="s">
        <v>1367</v>
      </c>
      <c r="D63" s="88">
        <v>209834</v>
      </c>
      <c r="E63" s="88" t="s">
        <v>1744</v>
      </c>
      <c r="F63" s="89" t="s">
        <v>1368</v>
      </c>
      <c r="G63" s="109" t="s">
        <v>1369</v>
      </c>
      <c r="H63" s="109"/>
      <c r="I63" s="91">
        <v>1</v>
      </c>
      <c r="J63" s="92" t="s">
        <v>83</v>
      </c>
      <c r="K63" s="93">
        <v>1000</v>
      </c>
      <c r="L63" s="93" t="s">
        <v>84</v>
      </c>
      <c r="M63" s="116">
        <f>25.5*12/10</f>
        <v>30.6</v>
      </c>
      <c r="N63" s="116">
        <f>22.7/9*12</f>
        <v>30.266666666666666</v>
      </c>
      <c r="O63" s="116">
        <v>27.400000000000002</v>
      </c>
      <c r="P63" s="94">
        <v>27</v>
      </c>
      <c r="Q63" s="95">
        <v>2</v>
      </c>
      <c r="R63" s="112">
        <v>30</v>
      </c>
      <c r="S63" s="97">
        <v>1000</v>
      </c>
      <c r="T63" s="98">
        <f t="shared" si="0"/>
        <v>30000</v>
      </c>
      <c r="U63" s="99">
        <v>10</v>
      </c>
      <c r="V63" s="100">
        <f t="shared" si="1"/>
        <v>10000</v>
      </c>
      <c r="W63" s="101">
        <v>10</v>
      </c>
      <c r="X63" s="102" t="s">
        <v>147</v>
      </c>
      <c r="Y63" s="103">
        <f>220*4</f>
        <v>880</v>
      </c>
      <c r="Z63" s="103">
        <f t="shared" si="15"/>
        <v>8800</v>
      </c>
      <c r="AA63" s="99">
        <v>10</v>
      </c>
      <c r="AB63" s="100">
        <f t="shared" si="3"/>
        <v>10000</v>
      </c>
      <c r="AC63" s="104">
        <v>10</v>
      </c>
      <c r="AD63" s="105" t="s">
        <v>147</v>
      </c>
      <c r="AE63" s="105">
        <v>880</v>
      </c>
      <c r="AF63" s="105">
        <f t="shared" si="17"/>
        <v>8800</v>
      </c>
      <c r="AG63" s="99">
        <v>10</v>
      </c>
      <c r="AH63" s="100">
        <f t="shared" si="5"/>
        <v>10000</v>
      </c>
      <c r="AI63" s="106">
        <v>10</v>
      </c>
      <c r="AJ63" s="107" t="s">
        <v>147</v>
      </c>
      <c r="AK63" s="107">
        <v>880</v>
      </c>
      <c r="AL63" s="107">
        <f t="shared" si="14"/>
        <v>8800</v>
      </c>
      <c r="AM63" s="99">
        <v>0</v>
      </c>
      <c r="AN63" s="100">
        <f t="shared" si="6"/>
        <v>0</v>
      </c>
      <c r="AO63" s="108">
        <f t="shared" si="7"/>
        <v>30</v>
      </c>
      <c r="AP63" s="308">
        <f t="shared" si="8"/>
        <v>26400</v>
      </c>
      <c r="AQ63" s="3"/>
      <c r="AR63" s="3"/>
      <c r="AS63" s="3"/>
    </row>
    <row r="64" spans="1:50" s="140" customFormat="1" ht="20.45" customHeight="1">
      <c r="A64" s="85" t="s">
        <v>1381</v>
      </c>
      <c r="B64" s="86">
        <v>321</v>
      </c>
      <c r="C64" s="87" t="s">
        <v>1382</v>
      </c>
      <c r="D64" s="88">
        <v>903569</v>
      </c>
      <c r="E64" s="88" t="s">
        <v>1744</v>
      </c>
      <c r="F64" s="89" t="s">
        <v>1383</v>
      </c>
      <c r="G64" s="109" t="s">
        <v>1384</v>
      </c>
      <c r="H64" s="109"/>
      <c r="I64" s="154">
        <v>1</v>
      </c>
      <c r="J64" s="92" t="s">
        <v>83</v>
      </c>
      <c r="K64" s="93">
        <v>1000</v>
      </c>
      <c r="L64" s="93" t="s">
        <v>84</v>
      </c>
      <c r="M64" s="116">
        <f>1028*12/10</f>
        <v>1233.5999999999999</v>
      </c>
      <c r="N64" s="116">
        <f>1159/9*12</f>
        <v>1545.3333333333333</v>
      </c>
      <c r="O64" s="116">
        <v>1713.3333333333333</v>
      </c>
      <c r="P64" s="94">
        <v>1786</v>
      </c>
      <c r="Q64" s="95">
        <v>186</v>
      </c>
      <c r="R64" s="198">
        <v>1500</v>
      </c>
      <c r="S64" s="97">
        <v>270</v>
      </c>
      <c r="T64" s="98">
        <f t="shared" si="0"/>
        <v>405000</v>
      </c>
      <c r="U64" s="99">
        <v>300</v>
      </c>
      <c r="V64" s="100">
        <f t="shared" si="1"/>
        <v>81000</v>
      </c>
      <c r="W64" s="101">
        <v>300</v>
      </c>
      <c r="X64" s="102" t="s">
        <v>488</v>
      </c>
      <c r="Y64" s="103">
        <v>267.5</v>
      </c>
      <c r="Z64" s="103">
        <f t="shared" si="15"/>
        <v>80250</v>
      </c>
      <c r="AA64" s="99">
        <v>800</v>
      </c>
      <c r="AB64" s="100">
        <f t="shared" si="3"/>
        <v>216000</v>
      </c>
      <c r="AC64" s="104">
        <f>2*400</f>
        <v>800</v>
      </c>
      <c r="AD64" s="105" t="s">
        <v>61</v>
      </c>
      <c r="AE64" s="105">
        <v>267.5</v>
      </c>
      <c r="AF64" s="105">
        <f t="shared" si="17"/>
        <v>214000</v>
      </c>
      <c r="AG64" s="99">
        <v>0</v>
      </c>
      <c r="AH64" s="100">
        <f t="shared" si="5"/>
        <v>0</v>
      </c>
      <c r="AI64" s="106"/>
      <c r="AJ64" s="107"/>
      <c r="AK64" s="107"/>
      <c r="AL64" s="107">
        <f t="shared" si="14"/>
        <v>0</v>
      </c>
      <c r="AM64" s="99">
        <v>400</v>
      </c>
      <c r="AN64" s="100">
        <f t="shared" si="6"/>
        <v>108000</v>
      </c>
      <c r="AO64" s="108">
        <f t="shared" si="7"/>
        <v>1500</v>
      </c>
      <c r="AP64" s="308">
        <f t="shared" si="8"/>
        <v>294250</v>
      </c>
      <c r="AQ64" s="3"/>
      <c r="AR64" s="3"/>
      <c r="AS64" s="3"/>
    </row>
    <row r="65" spans="1:50" s="140" customFormat="1" ht="20.45" customHeight="1">
      <c r="A65" s="85" t="s">
        <v>1397</v>
      </c>
      <c r="B65" s="86">
        <v>325</v>
      </c>
      <c r="C65" s="87" t="s">
        <v>1398</v>
      </c>
      <c r="D65" s="88">
        <v>209984</v>
      </c>
      <c r="E65" s="88" t="s">
        <v>1744</v>
      </c>
      <c r="F65" s="89" t="s">
        <v>1399</v>
      </c>
      <c r="G65" s="109" t="s">
        <v>1400</v>
      </c>
      <c r="H65" s="109"/>
      <c r="I65" s="91">
        <v>1</v>
      </c>
      <c r="J65" s="92" t="s">
        <v>83</v>
      </c>
      <c r="K65" s="93">
        <v>100</v>
      </c>
      <c r="L65" s="93" t="s">
        <v>84</v>
      </c>
      <c r="M65" s="116">
        <f>192*12/10</f>
        <v>230.4</v>
      </c>
      <c r="N65" s="116">
        <f>206/9*12</f>
        <v>274.66666666666669</v>
      </c>
      <c r="O65" s="116">
        <v>318.66666666666669</v>
      </c>
      <c r="P65" s="94">
        <v>320</v>
      </c>
      <c r="Q65" s="95">
        <v>0</v>
      </c>
      <c r="R65" s="96">
        <f>P65-Q65</f>
        <v>320</v>
      </c>
      <c r="S65" s="97">
        <v>160</v>
      </c>
      <c r="T65" s="98">
        <f t="shared" si="0"/>
        <v>51200</v>
      </c>
      <c r="U65" s="99">
        <v>80</v>
      </c>
      <c r="V65" s="100">
        <f t="shared" si="1"/>
        <v>12800</v>
      </c>
      <c r="W65" s="101">
        <v>80</v>
      </c>
      <c r="X65" s="102" t="s">
        <v>261</v>
      </c>
      <c r="Y65" s="103">
        <v>159</v>
      </c>
      <c r="Z65" s="103">
        <f t="shared" si="15"/>
        <v>12720</v>
      </c>
      <c r="AA65" s="99">
        <v>80</v>
      </c>
      <c r="AB65" s="100">
        <f t="shared" si="3"/>
        <v>12800</v>
      </c>
      <c r="AC65" s="104">
        <v>80</v>
      </c>
      <c r="AD65" s="105" t="s">
        <v>261</v>
      </c>
      <c r="AE65" s="105">
        <v>159</v>
      </c>
      <c r="AF65" s="105">
        <f t="shared" si="17"/>
        <v>12720</v>
      </c>
      <c r="AG65" s="99">
        <v>80</v>
      </c>
      <c r="AH65" s="100">
        <f t="shared" si="5"/>
        <v>12800</v>
      </c>
      <c r="AI65" s="106">
        <v>80</v>
      </c>
      <c r="AJ65" s="107" t="s">
        <v>261</v>
      </c>
      <c r="AK65" s="107">
        <v>159</v>
      </c>
      <c r="AL65" s="107">
        <f t="shared" si="14"/>
        <v>12720</v>
      </c>
      <c r="AM65" s="99">
        <v>80</v>
      </c>
      <c r="AN65" s="100">
        <f t="shared" si="6"/>
        <v>12800</v>
      </c>
      <c r="AO65" s="108">
        <f t="shared" si="7"/>
        <v>320</v>
      </c>
      <c r="AP65" s="308">
        <f t="shared" si="8"/>
        <v>38160</v>
      </c>
      <c r="AQ65" s="3"/>
      <c r="AR65" s="3"/>
      <c r="AS65" s="3"/>
    </row>
    <row r="66" spans="1:50" s="140" customFormat="1" ht="20.45" customHeight="1">
      <c r="A66" s="85" t="s">
        <v>1401</v>
      </c>
      <c r="B66" s="86">
        <v>326</v>
      </c>
      <c r="C66" s="87" t="s">
        <v>1402</v>
      </c>
      <c r="D66" s="88">
        <v>209997</v>
      </c>
      <c r="E66" s="88" t="s">
        <v>1744</v>
      </c>
      <c r="F66" s="89" t="s">
        <v>1403</v>
      </c>
      <c r="G66" s="109" t="s">
        <v>1404</v>
      </c>
      <c r="H66" s="109"/>
      <c r="I66" s="91">
        <v>1</v>
      </c>
      <c r="J66" s="92" t="s">
        <v>83</v>
      </c>
      <c r="K66" s="93">
        <v>100</v>
      </c>
      <c r="L66" s="93" t="s">
        <v>84</v>
      </c>
      <c r="M66" s="116">
        <f>129/10*12</f>
        <v>154.80000000000001</v>
      </c>
      <c r="N66" s="116">
        <f>122/9*12</f>
        <v>162.66666666666666</v>
      </c>
      <c r="O66" s="116">
        <v>192</v>
      </c>
      <c r="P66" s="94">
        <v>219</v>
      </c>
      <c r="Q66" s="95">
        <v>19</v>
      </c>
      <c r="R66" s="96">
        <v>250</v>
      </c>
      <c r="S66" s="152">
        <v>210</v>
      </c>
      <c r="T66" s="98">
        <f t="shared" si="0"/>
        <v>52500</v>
      </c>
      <c r="U66" s="99">
        <v>100</v>
      </c>
      <c r="V66" s="100">
        <f t="shared" si="1"/>
        <v>21000</v>
      </c>
      <c r="W66" s="101">
        <f>2*50</f>
        <v>100</v>
      </c>
      <c r="X66" s="102" t="s">
        <v>261</v>
      </c>
      <c r="Y66" s="103">
        <v>190</v>
      </c>
      <c r="Z66" s="103">
        <f t="shared" si="15"/>
        <v>19000</v>
      </c>
      <c r="AA66" s="99">
        <v>50</v>
      </c>
      <c r="AB66" s="100">
        <f t="shared" si="3"/>
        <v>10500</v>
      </c>
      <c r="AC66" s="104">
        <v>50</v>
      </c>
      <c r="AD66" s="105" t="s">
        <v>261</v>
      </c>
      <c r="AE66" s="105">
        <v>190</v>
      </c>
      <c r="AF66" s="105">
        <f t="shared" si="17"/>
        <v>9500</v>
      </c>
      <c r="AG66" s="99">
        <v>50</v>
      </c>
      <c r="AH66" s="100">
        <f t="shared" si="5"/>
        <v>10500</v>
      </c>
      <c r="AI66" s="106">
        <v>50</v>
      </c>
      <c r="AJ66" s="107" t="s">
        <v>261</v>
      </c>
      <c r="AK66" s="107">
        <v>190</v>
      </c>
      <c r="AL66" s="107">
        <f t="shared" si="14"/>
        <v>9500</v>
      </c>
      <c r="AM66" s="99">
        <v>50</v>
      </c>
      <c r="AN66" s="100">
        <f t="shared" si="6"/>
        <v>10500</v>
      </c>
      <c r="AO66" s="108">
        <f t="shared" si="7"/>
        <v>250</v>
      </c>
      <c r="AP66" s="308">
        <f t="shared" si="8"/>
        <v>38000</v>
      </c>
      <c r="AQ66" s="3"/>
      <c r="AR66" s="3"/>
      <c r="AS66" s="3"/>
    </row>
    <row r="67" spans="1:50" s="140" customFormat="1" ht="20.45" customHeight="1">
      <c r="A67" s="85" t="s">
        <v>1405</v>
      </c>
      <c r="B67" s="86">
        <v>327</v>
      </c>
      <c r="C67" s="87" t="s">
        <v>1406</v>
      </c>
      <c r="D67" s="88">
        <v>210014</v>
      </c>
      <c r="E67" s="88" t="s">
        <v>1744</v>
      </c>
      <c r="F67" s="89" t="s">
        <v>1407</v>
      </c>
      <c r="G67" s="109" t="s">
        <v>1408</v>
      </c>
      <c r="H67" s="109"/>
      <c r="I67" s="91">
        <v>1</v>
      </c>
      <c r="J67" s="92" t="s">
        <v>83</v>
      </c>
      <c r="K67" s="93">
        <v>100</v>
      </c>
      <c r="L67" s="93" t="s">
        <v>84</v>
      </c>
      <c r="M67" s="116">
        <f>55/10*12</f>
        <v>66</v>
      </c>
      <c r="N67" s="116">
        <f>30/9*12</f>
        <v>40</v>
      </c>
      <c r="O67" s="116">
        <v>90.666666666666671</v>
      </c>
      <c r="P67" s="94">
        <v>99</v>
      </c>
      <c r="Q67" s="95">
        <v>9</v>
      </c>
      <c r="R67" s="112">
        <v>110</v>
      </c>
      <c r="S67" s="152">
        <v>240</v>
      </c>
      <c r="T67" s="98">
        <f t="shared" si="0"/>
        <v>26400</v>
      </c>
      <c r="U67" s="99">
        <v>50</v>
      </c>
      <c r="V67" s="100">
        <f t="shared" si="1"/>
        <v>12000</v>
      </c>
      <c r="W67" s="101">
        <f>20+30</f>
        <v>50</v>
      </c>
      <c r="X67" s="102" t="s">
        <v>261</v>
      </c>
      <c r="Y67" s="103">
        <v>220</v>
      </c>
      <c r="Z67" s="103">
        <f t="shared" si="15"/>
        <v>11000</v>
      </c>
      <c r="AA67" s="99">
        <v>20</v>
      </c>
      <c r="AB67" s="100">
        <f t="shared" si="3"/>
        <v>4800</v>
      </c>
      <c r="AC67" s="104">
        <v>20</v>
      </c>
      <c r="AD67" s="105" t="s">
        <v>261</v>
      </c>
      <c r="AE67" s="105">
        <v>220</v>
      </c>
      <c r="AF67" s="105">
        <f t="shared" si="17"/>
        <v>4400</v>
      </c>
      <c r="AG67" s="99">
        <v>20</v>
      </c>
      <c r="AH67" s="100">
        <f t="shared" si="5"/>
        <v>4800</v>
      </c>
      <c r="AI67" s="106">
        <v>50</v>
      </c>
      <c r="AJ67" s="107" t="s">
        <v>261</v>
      </c>
      <c r="AK67" s="107">
        <v>220</v>
      </c>
      <c r="AL67" s="107">
        <f t="shared" si="14"/>
        <v>11000</v>
      </c>
      <c r="AM67" s="99">
        <v>20</v>
      </c>
      <c r="AN67" s="100">
        <f t="shared" si="6"/>
        <v>4800</v>
      </c>
      <c r="AO67" s="108">
        <f t="shared" si="7"/>
        <v>110</v>
      </c>
      <c r="AP67" s="308">
        <f t="shared" si="8"/>
        <v>26400</v>
      </c>
      <c r="AQ67" s="3"/>
      <c r="AR67" s="3"/>
      <c r="AS67" s="3"/>
    </row>
    <row r="68" spans="1:50" s="140" customFormat="1" ht="20.45" customHeight="1">
      <c r="A68" s="85" t="s">
        <v>1447</v>
      </c>
      <c r="B68" s="86">
        <v>338</v>
      </c>
      <c r="C68" s="87">
        <v>823005</v>
      </c>
      <c r="D68" s="88">
        <v>822984</v>
      </c>
      <c r="E68" s="88" t="s">
        <v>1744</v>
      </c>
      <c r="F68" s="117" t="s">
        <v>1448</v>
      </c>
      <c r="G68" s="203" t="s">
        <v>1449</v>
      </c>
      <c r="H68" s="109" t="s">
        <v>169</v>
      </c>
      <c r="I68" s="91">
        <v>1</v>
      </c>
      <c r="J68" s="92" t="s">
        <v>272</v>
      </c>
      <c r="K68" s="93">
        <v>1</v>
      </c>
      <c r="L68" s="93" t="s">
        <v>1450</v>
      </c>
      <c r="M68" s="116">
        <v>0</v>
      </c>
      <c r="N68" s="116">
        <v>0</v>
      </c>
      <c r="O68" s="116">
        <v>0</v>
      </c>
      <c r="P68" s="94">
        <v>320</v>
      </c>
      <c r="Q68" s="95">
        <v>0</v>
      </c>
      <c r="R68" s="145">
        <v>0</v>
      </c>
      <c r="S68" s="131">
        <v>110</v>
      </c>
      <c r="T68" s="98">
        <f t="shared" si="0"/>
        <v>0</v>
      </c>
      <c r="U68" s="99">
        <v>0</v>
      </c>
      <c r="V68" s="100">
        <f t="shared" si="1"/>
        <v>0</v>
      </c>
      <c r="W68" s="101"/>
      <c r="X68" s="102"/>
      <c r="Y68" s="103"/>
      <c r="Z68" s="103"/>
      <c r="AA68" s="99">
        <v>0</v>
      </c>
      <c r="AB68" s="100">
        <f t="shared" si="3"/>
        <v>0</v>
      </c>
      <c r="AC68" s="104"/>
      <c r="AD68" s="105"/>
      <c r="AE68" s="105"/>
      <c r="AF68" s="105"/>
      <c r="AG68" s="99">
        <v>0</v>
      </c>
      <c r="AH68" s="100">
        <f t="shared" si="5"/>
        <v>0</v>
      </c>
      <c r="AI68" s="106"/>
      <c r="AJ68" s="107"/>
      <c r="AK68" s="107"/>
      <c r="AL68" s="107"/>
      <c r="AM68" s="99">
        <v>0</v>
      </c>
      <c r="AN68" s="100">
        <f t="shared" si="6"/>
        <v>0</v>
      </c>
      <c r="AO68" s="108">
        <f t="shared" si="7"/>
        <v>0</v>
      </c>
      <c r="AP68" s="308">
        <f t="shared" si="8"/>
        <v>0</v>
      </c>
      <c r="AQ68" s="3"/>
      <c r="AR68" s="3"/>
      <c r="AS68" s="3"/>
    </row>
    <row r="69" spans="1:50" s="140" customFormat="1" ht="20.45" customHeight="1">
      <c r="A69" s="85" t="s">
        <v>1451</v>
      </c>
      <c r="B69" s="86">
        <v>339</v>
      </c>
      <c r="C69" s="87">
        <v>779459</v>
      </c>
      <c r="D69" s="88">
        <v>800534</v>
      </c>
      <c r="E69" s="88" t="s">
        <v>1744</v>
      </c>
      <c r="F69" s="117" t="s">
        <v>1452</v>
      </c>
      <c r="G69" s="203" t="s">
        <v>1453</v>
      </c>
      <c r="H69" s="109"/>
      <c r="I69" s="91">
        <v>1</v>
      </c>
      <c r="J69" s="92" t="s">
        <v>1454</v>
      </c>
      <c r="K69" s="93">
        <v>1</v>
      </c>
      <c r="L69" s="93" t="s">
        <v>1455</v>
      </c>
      <c r="M69" s="116">
        <v>0</v>
      </c>
      <c r="N69" s="116">
        <v>0</v>
      </c>
      <c r="O69" s="116">
        <v>0</v>
      </c>
      <c r="P69" s="94">
        <v>240</v>
      </c>
      <c r="Q69" s="95">
        <v>0</v>
      </c>
      <c r="R69" s="145">
        <v>60</v>
      </c>
      <c r="S69" s="97">
        <v>662.33</v>
      </c>
      <c r="T69" s="98">
        <f t="shared" si="0"/>
        <v>39739.800000000003</v>
      </c>
      <c r="U69" s="99">
        <v>0</v>
      </c>
      <c r="V69" s="100">
        <f t="shared" si="1"/>
        <v>0</v>
      </c>
      <c r="W69" s="101"/>
      <c r="X69" s="102"/>
      <c r="Y69" s="103"/>
      <c r="Z69" s="103"/>
      <c r="AA69" s="99">
        <v>0</v>
      </c>
      <c r="AB69" s="100">
        <f t="shared" si="3"/>
        <v>0</v>
      </c>
      <c r="AC69" s="104"/>
      <c r="AD69" s="105"/>
      <c r="AE69" s="105"/>
      <c r="AF69" s="105"/>
      <c r="AG69" s="99">
        <v>0</v>
      </c>
      <c r="AH69" s="100">
        <f t="shared" si="5"/>
        <v>0</v>
      </c>
      <c r="AI69" s="106"/>
      <c r="AJ69" s="107"/>
      <c r="AK69" s="107"/>
      <c r="AL69" s="107"/>
      <c r="AM69" s="99">
        <v>60</v>
      </c>
      <c r="AN69" s="100">
        <f t="shared" si="6"/>
        <v>39739.800000000003</v>
      </c>
      <c r="AO69" s="108">
        <f t="shared" si="7"/>
        <v>60</v>
      </c>
      <c r="AP69" s="308">
        <f t="shared" si="8"/>
        <v>0</v>
      </c>
      <c r="AQ69" s="3"/>
      <c r="AR69" s="3"/>
      <c r="AS69" s="3"/>
    </row>
    <row r="70" spans="1:50" s="140" customFormat="1" ht="20.45" customHeight="1">
      <c r="A70" s="85" t="s">
        <v>1470</v>
      </c>
      <c r="B70" s="86">
        <v>344</v>
      </c>
      <c r="C70" s="87">
        <v>1188918</v>
      </c>
      <c r="D70" s="88">
        <v>380368</v>
      </c>
      <c r="E70" s="88" t="s">
        <v>1744</v>
      </c>
      <c r="F70" s="117" t="s">
        <v>1471</v>
      </c>
      <c r="G70" s="109" t="s">
        <v>1472</v>
      </c>
      <c r="H70" s="109" t="s">
        <v>305</v>
      </c>
      <c r="I70" s="91">
        <v>1</v>
      </c>
      <c r="J70" s="92" t="s">
        <v>1446</v>
      </c>
      <c r="K70" s="93">
        <v>100</v>
      </c>
      <c r="L70" s="93" t="s">
        <v>477</v>
      </c>
      <c r="M70" s="116">
        <v>0</v>
      </c>
      <c r="N70" s="116">
        <v>10</v>
      </c>
      <c r="O70" s="116">
        <v>84</v>
      </c>
      <c r="P70" s="94">
        <v>120</v>
      </c>
      <c r="Q70" s="95">
        <v>0</v>
      </c>
      <c r="R70" s="145">
        <v>90</v>
      </c>
      <c r="S70" s="131">
        <v>321</v>
      </c>
      <c r="T70" s="98">
        <f t="shared" si="0"/>
        <v>28890</v>
      </c>
      <c r="U70" s="99">
        <v>0</v>
      </c>
      <c r="V70" s="100">
        <f t="shared" si="1"/>
        <v>0</v>
      </c>
      <c r="W70" s="101"/>
      <c r="X70" s="102"/>
      <c r="Y70" s="103"/>
      <c r="Z70" s="103"/>
      <c r="AA70" s="99">
        <v>30</v>
      </c>
      <c r="AB70" s="100">
        <f t="shared" si="3"/>
        <v>9630</v>
      </c>
      <c r="AC70" s="104">
        <v>30</v>
      </c>
      <c r="AD70" s="105" t="s">
        <v>110</v>
      </c>
      <c r="AE70" s="105">
        <v>321</v>
      </c>
      <c r="AF70" s="105">
        <f>AE70*AC70</f>
        <v>9630</v>
      </c>
      <c r="AG70" s="99">
        <v>30</v>
      </c>
      <c r="AH70" s="100">
        <f t="shared" si="5"/>
        <v>9630</v>
      </c>
      <c r="AI70" s="106"/>
      <c r="AJ70" s="107"/>
      <c r="AK70" s="107"/>
      <c r="AL70" s="107"/>
      <c r="AM70" s="99">
        <v>30</v>
      </c>
      <c r="AN70" s="100">
        <f t="shared" si="6"/>
        <v>9630</v>
      </c>
      <c r="AO70" s="108">
        <f t="shared" si="7"/>
        <v>90</v>
      </c>
      <c r="AP70" s="308">
        <f t="shared" si="8"/>
        <v>9630</v>
      </c>
      <c r="AQ70" s="3"/>
      <c r="AR70" s="3"/>
      <c r="AS70" s="3"/>
    </row>
    <row r="71" spans="1:50" s="140" customFormat="1" ht="20.45" customHeight="1">
      <c r="A71" s="85" t="s">
        <v>1473</v>
      </c>
      <c r="B71" s="86">
        <v>345</v>
      </c>
      <c r="C71" s="87">
        <v>650039</v>
      </c>
      <c r="D71" s="88">
        <v>650018</v>
      </c>
      <c r="E71" s="88" t="s">
        <v>1744</v>
      </c>
      <c r="F71" s="117" t="s">
        <v>1474</v>
      </c>
      <c r="G71" s="203" t="s">
        <v>1475</v>
      </c>
      <c r="H71" s="109"/>
      <c r="I71" s="91">
        <v>1</v>
      </c>
      <c r="J71" s="92" t="s">
        <v>1476</v>
      </c>
      <c r="K71" s="93">
        <v>1</v>
      </c>
      <c r="L71" s="93" t="s">
        <v>1477</v>
      </c>
      <c r="M71" s="116">
        <v>0</v>
      </c>
      <c r="N71" s="116">
        <v>0</v>
      </c>
      <c r="O71" s="116">
        <v>0</v>
      </c>
      <c r="P71" s="94">
        <v>80</v>
      </c>
      <c r="Q71" s="95">
        <v>0</v>
      </c>
      <c r="R71" s="145">
        <v>40</v>
      </c>
      <c r="S71" s="97">
        <v>500</v>
      </c>
      <c r="T71" s="98">
        <f t="shared" si="0"/>
        <v>20000</v>
      </c>
      <c r="U71" s="99">
        <v>0</v>
      </c>
      <c r="V71" s="100">
        <f t="shared" si="1"/>
        <v>0</v>
      </c>
      <c r="W71" s="101"/>
      <c r="X71" s="102"/>
      <c r="Y71" s="103"/>
      <c r="Z71" s="103"/>
      <c r="AA71" s="99">
        <v>0</v>
      </c>
      <c r="AB71" s="100">
        <f t="shared" si="3"/>
        <v>0</v>
      </c>
      <c r="AC71" s="104"/>
      <c r="AD71" s="105"/>
      <c r="AE71" s="105"/>
      <c r="AF71" s="105"/>
      <c r="AG71" s="99">
        <v>20</v>
      </c>
      <c r="AH71" s="100">
        <f t="shared" si="5"/>
        <v>10000</v>
      </c>
      <c r="AI71" s="106"/>
      <c r="AJ71" s="107"/>
      <c r="AK71" s="107"/>
      <c r="AL71" s="107"/>
      <c r="AM71" s="99">
        <v>20</v>
      </c>
      <c r="AN71" s="100">
        <f t="shared" si="6"/>
        <v>10000</v>
      </c>
      <c r="AO71" s="108">
        <f t="shared" si="7"/>
        <v>40</v>
      </c>
      <c r="AP71" s="308">
        <f t="shared" si="8"/>
        <v>0</v>
      </c>
      <c r="AQ71" s="3"/>
      <c r="AR71" s="3"/>
      <c r="AS71" s="3"/>
    </row>
    <row r="72" spans="1:50" s="140" customFormat="1" ht="20.45" customHeight="1">
      <c r="A72" s="85">
        <v>2483</v>
      </c>
      <c r="B72" s="86">
        <v>346</v>
      </c>
      <c r="C72" s="87" t="s">
        <v>1479</v>
      </c>
      <c r="D72" s="88">
        <v>265423</v>
      </c>
      <c r="E72" s="88" t="s">
        <v>1744</v>
      </c>
      <c r="F72" s="128" t="s">
        <v>1480</v>
      </c>
      <c r="G72" s="109" t="s">
        <v>1481</v>
      </c>
      <c r="H72" s="109" t="s">
        <v>1482</v>
      </c>
      <c r="I72" s="91">
        <v>1</v>
      </c>
      <c r="J72" s="92" t="s">
        <v>184</v>
      </c>
      <c r="K72" s="93">
        <v>60</v>
      </c>
      <c r="L72" s="93" t="s">
        <v>185</v>
      </c>
      <c r="M72" s="207">
        <v>0</v>
      </c>
      <c r="N72" s="207">
        <v>0</v>
      </c>
      <c r="O72" s="207">
        <v>0</v>
      </c>
      <c r="P72" s="94">
        <v>80</v>
      </c>
      <c r="Q72" s="208">
        <v>0</v>
      </c>
      <c r="R72" s="96">
        <f>P72-Q72</f>
        <v>80</v>
      </c>
      <c r="S72" s="120">
        <v>55</v>
      </c>
      <c r="T72" s="98">
        <f t="shared" ref="T72:T135" si="18">S72*R72</f>
        <v>4400</v>
      </c>
      <c r="U72" s="209">
        <v>0</v>
      </c>
      <c r="V72" s="100">
        <f t="shared" ref="V72:V135" si="19">U72*S72</f>
        <v>0</v>
      </c>
      <c r="W72" s="101"/>
      <c r="X72" s="102"/>
      <c r="Y72" s="103"/>
      <c r="Z72" s="103"/>
      <c r="AA72" s="209">
        <v>40</v>
      </c>
      <c r="AB72" s="100">
        <f t="shared" ref="AB72:AB135" si="20">AA72*S72</f>
        <v>2200</v>
      </c>
      <c r="AC72" s="104">
        <v>40</v>
      </c>
      <c r="AD72" s="105" t="s">
        <v>203</v>
      </c>
      <c r="AE72" s="105">
        <v>51.36</v>
      </c>
      <c r="AF72" s="105">
        <f>AE72*AC72</f>
        <v>2054.4</v>
      </c>
      <c r="AG72" s="209">
        <v>20</v>
      </c>
      <c r="AH72" s="100">
        <f t="shared" ref="AH72:AH135" si="21">S72*AG72</f>
        <v>1100</v>
      </c>
      <c r="AI72" s="106"/>
      <c r="AJ72" s="107"/>
      <c r="AK72" s="107"/>
      <c r="AL72" s="107"/>
      <c r="AM72" s="209">
        <v>20</v>
      </c>
      <c r="AN72" s="100">
        <f t="shared" ref="AN72:AN135" si="22">S72*AM72</f>
        <v>1100</v>
      </c>
      <c r="AO72" s="108">
        <f t="shared" ref="AO72:AO135" si="23">U72+AA72+AG72+AM72</f>
        <v>80</v>
      </c>
      <c r="AP72" s="308">
        <f t="shared" si="8"/>
        <v>2054.4</v>
      </c>
      <c r="AQ72" s="3"/>
      <c r="AR72" s="3"/>
      <c r="AS72" s="3"/>
    </row>
    <row r="73" spans="1:50" s="140" customFormat="1" ht="20.45" customHeight="1">
      <c r="A73" s="85">
        <v>2061</v>
      </c>
      <c r="B73" s="86">
        <v>349</v>
      </c>
      <c r="C73" s="87">
        <v>846903</v>
      </c>
      <c r="D73" s="88">
        <v>206259</v>
      </c>
      <c r="E73" s="88" t="s">
        <v>1744</v>
      </c>
      <c r="F73" s="128" t="s">
        <v>1488</v>
      </c>
      <c r="G73" s="109" t="s">
        <v>1489</v>
      </c>
      <c r="H73" s="109" t="s">
        <v>1482</v>
      </c>
      <c r="I73" s="91">
        <v>1</v>
      </c>
      <c r="J73" s="92" t="s">
        <v>83</v>
      </c>
      <c r="K73" s="93">
        <v>100</v>
      </c>
      <c r="L73" s="93" t="s">
        <v>84</v>
      </c>
      <c r="M73" s="207">
        <v>0</v>
      </c>
      <c r="N73" s="207">
        <v>0</v>
      </c>
      <c r="O73" s="207">
        <v>0</v>
      </c>
      <c r="P73" s="94">
        <f>6*10</f>
        <v>60</v>
      </c>
      <c r="Q73" s="208">
        <v>0</v>
      </c>
      <c r="R73" s="112">
        <v>270</v>
      </c>
      <c r="S73" s="122">
        <v>100</v>
      </c>
      <c r="T73" s="98">
        <f t="shared" si="18"/>
        <v>27000</v>
      </c>
      <c r="U73" s="209">
        <v>0</v>
      </c>
      <c r="V73" s="100">
        <f t="shared" si="19"/>
        <v>0</v>
      </c>
      <c r="W73" s="101"/>
      <c r="X73" s="102"/>
      <c r="Y73" s="103"/>
      <c r="Z73" s="103"/>
      <c r="AA73" s="209">
        <v>90</v>
      </c>
      <c r="AB73" s="100">
        <f t="shared" si="20"/>
        <v>9000</v>
      </c>
      <c r="AC73" s="104">
        <f>60+30</f>
        <v>90</v>
      </c>
      <c r="AD73" s="105" t="s">
        <v>174</v>
      </c>
      <c r="AE73" s="105">
        <v>100</v>
      </c>
      <c r="AF73" s="105">
        <f>AE73*AC73</f>
        <v>9000</v>
      </c>
      <c r="AG73" s="209">
        <v>90</v>
      </c>
      <c r="AH73" s="100">
        <f t="shared" si="21"/>
        <v>9000</v>
      </c>
      <c r="AI73" s="106"/>
      <c r="AJ73" s="107"/>
      <c r="AK73" s="107"/>
      <c r="AL73" s="107"/>
      <c r="AM73" s="209">
        <v>90</v>
      </c>
      <c r="AN73" s="100">
        <f t="shared" si="22"/>
        <v>9000</v>
      </c>
      <c r="AO73" s="108">
        <f t="shared" si="23"/>
        <v>270</v>
      </c>
      <c r="AP73" s="308">
        <f t="shared" ref="AP73:AP136" si="24">Z73+AF73+AL73</f>
        <v>9000</v>
      </c>
      <c r="AQ73" s="3"/>
      <c r="AR73" s="3"/>
      <c r="AS73" s="3"/>
    </row>
    <row r="74" spans="1:50" s="140" customFormat="1" ht="20.45" customHeight="1">
      <c r="A74" s="85">
        <v>1196</v>
      </c>
      <c r="B74" s="86">
        <v>351</v>
      </c>
      <c r="C74" s="87">
        <v>437944</v>
      </c>
      <c r="D74" s="88">
        <v>988060</v>
      </c>
      <c r="E74" s="88" t="s">
        <v>1744</v>
      </c>
      <c r="F74" s="128" t="s">
        <v>1492</v>
      </c>
      <c r="G74" s="109" t="s">
        <v>1493</v>
      </c>
      <c r="H74" s="109" t="s">
        <v>1482</v>
      </c>
      <c r="I74" s="91">
        <v>1</v>
      </c>
      <c r="J74" s="92" t="s">
        <v>83</v>
      </c>
      <c r="K74" s="93">
        <v>100</v>
      </c>
      <c r="L74" s="93" t="s">
        <v>84</v>
      </c>
      <c r="M74" s="207">
        <v>0</v>
      </c>
      <c r="N74" s="207">
        <v>0</v>
      </c>
      <c r="O74" s="207">
        <v>0</v>
      </c>
      <c r="P74" s="94">
        <v>40</v>
      </c>
      <c r="Q74" s="208">
        <v>0</v>
      </c>
      <c r="R74" s="145">
        <v>20</v>
      </c>
      <c r="S74" s="210">
        <v>194</v>
      </c>
      <c r="T74" s="98">
        <f t="shared" si="18"/>
        <v>3880</v>
      </c>
      <c r="U74" s="209">
        <v>0</v>
      </c>
      <c r="V74" s="100">
        <f t="shared" si="19"/>
        <v>0</v>
      </c>
      <c r="W74" s="101"/>
      <c r="X74" s="102"/>
      <c r="Y74" s="103"/>
      <c r="Z74" s="103"/>
      <c r="AA74" s="209">
        <v>0</v>
      </c>
      <c r="AB74" s="100">
        <f t="shared" si="20"/>
        <v>0</v>
      </c>
      <c r="AC74" s="104"/>
      <c r="AD74" s="105"/>
      <c r="AE74" s="105"/>
      <c r="AF74" s="105"/>
      <c r="AG74" s="209">
        <v>10</v>
      </c>
      <c r="AH74" s="100">
        <f t="shared" si="21"/>
        <v>1940</v>
      </c>
      <c r="AI74" s="106">
        <v>10</v>
      </c>
      <c r="AJ74" s="107" t="s">
        <v>342</v>
      </c>
      <c r="AK74" s="107">
        <f>195*2</f>
        <v>390</v>
      </c>
      <c r="AL74" s="107">
        <f>AK74*AI74</f>
        <v>3900</v>
      </c>
      <c r="AM74" s="209">
        <v>10</v>
      </c>
      <c r="AN74" s="100">
        <f t="shared" si="22"/>
        <v>1940</v>
      </c>
      <c r="AO74" s="108">
        <f t="shared" si="23"/>
        <v>20</v>
      </c>
      <c r="AP74" s="308">
        <f t="shared" si="24"/>
        <v>3900</v>
      </c>
      <c r="AQ74" s="3"/>
      <c r="AR74" s="3"/>
      <c r="AS74" s="3"/>
    </row>
    <row r="75" spans="1:50" s="140" customFormat="1" ht="20.45" customHeight="1">
      <c r="A75" s="85" t="s">
        <v>47</v>
      </c>
      <c r="B75" s="86">
        <v>1</v>
      </c>
      <c r="C75" s="87" t="s">
        <v>48</v>
      </c>
      <c r="D75" s="88">
        <v>698204</v>
      </c>
      <c r="E75" s="88"/>
      <c r="F75" s="89" t="s">
        <v>49</v>
      </c>
      <c r="G75" s="109" t="s">
        <v>50</v>
      </c>
      <c r="H75" s="109"/>
      <c r="I75" s="91">
        <v>1</v>
      </c>
      <c r="J75" s="92" t="s">
        <v>51</v>
      </c>
      <c r="K75" s="93">
        <v>1</v>
      </c>
      <c r="L75" s="93" t="s">
        <v>52</v>
      </c>
      <c r="M75" s="116">
        <f>33820/10*12</f>
        <v>40584</v>
      </c>
      <c r="N75" s="116">
        <f>34607/9*12</f>
        <v>46142.666666666664</v>
      </c>
      <c r="O75" s="116">
        <v>47772</v>
      </c>
      <c r="P75" s="94">
        <v>48000</v>
      </c>
      <c r="Q75" s="95">
        <v>0</v>
      </c>
      <c r="R75" s="96">
        <f>P75-Q75</f>
        <v>48000</v>
      </c>
      <c r="S75" s="97">
        <v>16.05</v>
      </c>
      <c r="T75" s="98">
        <f t="shared" si="18"/>
        <v>770400</v>
      </c>
      <c r="U75" s="99">
        <v>12000</v>
      </c>
      <c r="V75" s="100">
        <f t="shared" si="19"/>
        <v>192600</v>
      </c>
      <c r="W75" s="101">
        <f>2*6000</f>
        <v>12000</v>
      </c>
      <c r="X75" s="102" t="s">
        <v>53</v>
      </c>
      <c r="Y75" s="103">
        <v>9.1999999999999993</v>
      </c>
      <c r="Z75" s="103">
        <f>Y75*W75</f>
        <v>110399.99999999999</v>
      </c>
      <c r="AA75" s="99">
        <v>12000</v>
      </c>
      <c r="AB75" s="100">
        <f t="shared" si="20"/>
        <v>192600</v>
      </c>
      <c r="AC75" s="104">
        <f>2*6000</f>
        <v>12000</v>
      </c>
      <c r="AD75" s="105" t="s">
        <v>53</v>
      </c>
      <c r="AE75" s="105">
        <v>9.1999999999999993</v>
      </c>
      <c r="AF75" s="105">
        <f t="shared" ref="AF75:AF80" si="25">AE75*AC75</f>
        <v>110399.99999999999</v>
      </c>
      <c r="AG75" s="99">
        <v>12000</v>
      </c>
      <c r="AH75" s="100">
        <f t="shared" si="21"/>
        <v>192600</v>
      </c>
      <c r="AI75" s="106">
        <f>2*6000</f>
        <v>12000</v>
      </c>
      <c r="AJ75" s="107" t="s">
        <v>53</v>
      </c>
      <c r="AK75" s="107">
        <v>9.1999999999999993</v>
      </c>
      <c r="AL75" s="107">
        <f>AK75*AI75</f>
        <v>110399.99999999999</v>
      </c>
      <c r="AM75" s="99">
        <v>12000</v>
      </c>
      <c r="AN75" s="100">
        <f t="shared" si="22"/>
        <v>192600</v>
      </c>
      <c r="AO75" s="108">
        <f t="shared" si="23"/>
        <v>48000</v>
      </c>
      <c r="AP75" s="308">
        <f t="shared" si="24"/>
        <v>331199.99999999994</v>
      </c>
      <c r="AQ75" s="3"/>
      <c r="AR75" s="3"/>
      <c r="AS75" s="3"/>
    </row>
    <row r="76" spans="1:50" ht="20.45" customHeight="1">
      <c r="A76" s="85" t="s">
        <v>54</v>
      </c>
      <c r="B76" s="86">
        <v>2</v>
      </c>
      <c r="C76" s="87" t="s">
        <v>55</v>
      </c>
      <c r="D76" s="88">
        <v>801522</v>
      </c>
      <c r="E76" s="88"/>
      <c r="F76" s="89" t="s">
        <v>49</v>
      </c>
      <c r="G76" s="109" t="s">
        <v>56</v>
      </c>
      <c r="H76" s="109"/>
      <c r="I76" s="91">
        <v>1</v>
      </c>
      <c r="J76" s="92" t="s">
        <v>51</v>
      </c>
      <c r="K76" s="93">
        <v>1</v>
      </c>
      <c r="L76" s="93" t="s">
        <v>52</v>
      </c>
      <c r="M76" s="116">
        <f>12603/10*12</f>
        <v>15123.599999999999</v>
      </c>
      <c r="N76" s="116">
        <f>14556/9*12</f>
        <v>19408</v>
      </c>
      <c r="O76" s="116">
        <v>18670.666666666668</v>
      </c>
      <c r="P76" s="94">
        <v>19500</v>
      </c>
      <c r="Q76" s="95">
        <v>3500</v>
      </c>
      <c r="R76" s="96">
        <f>P76-Q76</f>
        <v>16000</v>
      </c>
      <c r="S76" s="110">
        <v>30</v>
      </c>
      <c r="T76" s="98">
        <f t="shared" si="18"/>
        <v>480000</v>
      </c>
      <c r="U76" s="111">
        <v>4600</v>
      </c>
      <c r="V76" s="100">
        <f t="shared" si="19"/>
        <v>138000</v>
      </c>
      <c r="W76" s="101">
        <f>2*3000</f>
        <v>6000</v>
      </c>
      <c r="X76" s="102" t="s">
        <v>53</v>
      </c>
      <c r="Y76" s="103">
        <v>22.7</v>
      </c>
      <c r="Z76" s="103">
        <f>Y76*W76</f>
        <v>136200</v>
      </c>
      <c r="AA76" s="111">
        <v>3000</v>
      </c>
      <c r="AB76" s="100">
        <f t="shared" si="20"/>
        <v>90000</v>
      </c>
      <c r="AC76" s="104">
        <v>4000</v>
      </c>
      <c r="AD76" s="105" t="s">
        <v>53</v>
      </c>
      <c r="AE76" s="105">
        <v>22.7</v>
      </c>
      <c r="AF76" s="105">
        <f t="shared" si="25"/>
        <v>90800</v>
      </c>
      <c r="AG76" s="99">
        <v>4000</v>
      </c>
      <c r="AH76" s="100">
        <f t="shared" si="21"/>
        <v>120000</v>
      </c>
      <c r="AI76" s="106">
        <f>10000</f>
        <v>10000</v>
      </c>
      <c r="AJ76" s="107" t="s">
        <v>53</v>
      </c>
      <c r="AK76" s="107">
        <v>22.7</v>
      </c>
      <c r="AL76" s="107">
        <f>AK76*AI76</f>
        <v>227000</v>
      </c>
      <c r="AM76" s="99">
        <v>4000</v>
      </c>
      <c r="AN76" s="100">
        <f t="shared" si="22"/>
        <v>120000</v>
      </c>
      <c r="AO76" s="108">
        <f t="shared" si="23"/>
        <v>15600</v>
      </c>
      <c r="AP76" s="308">
        <f t="shared" si="24"/>
        <v>454000</v>
      </c>
    </row>
    <row r="77" spans="1:50" ht="20.45" customHeight="1">
      <c r="A77" s="85" t="s">
        <v>57</v>
      </c>
      <c r="B77" s="86">
        <v>3</v>
      </c>
      <c r="C77" s="87" t="s">
        <v>58</v>
      </c>
      <c r="D77" s="88">
        <v>801505</v>
      </c>
      <c r="E77" s="88"/>
      <c r="F77" s="89" t="s">
        <v>49</v>
      </c>
      <c r="G77" s="109" t="s">
        <v>59</v>
      </c>
      <c r="H77" s="109"/>
      <c r="I77" s="91">
        <v>1</v>
      </c>
      <c r="J77" s="92" t="s">
        <v>51</v>
      </c>
      <c r="K77" s="93">
        <v>1</v>
      </c>
      <c r="L77" s="93" t="s">
        <v>60</v>
      </c>
      <c r="M77" s="116">
        <f>571/10*12</f>
        <v>685.2</v>
      </c>
      <c r="N77" s="116">
        <f>399/9*12</f>
        <v>532</v>
      </c>
      <c r="O77" s="116">
        <v>561.33333333333337</v>
      </c>
      <c r="P77" s="94">
        <v>600</v>
      </c>
      <c r="Q77" s="95">
        <v>0</v>
      </c>
      <c r="R77" s="112">
        <v>700</v>
      </c>
      <c r="S77" s="110">
        <v>25</v>
      </c>
      <c r="T77" s="98">
        <f t="shared" si="18"/>
        <v>17500</v>
      </c>
      <c r="U77" s="99">
        <v>200</v>
      </c>
      <c r="V77" s="100">
        <f t="shared" si="19"/>
        <v>5000</v>
      </c>
      <c r="W77" s="101">
        <v>200</v>
      </c>
      <c r="X77" s="102" t="s">
        <v>61</v>
      </c>
      <c r="Y77" s="103">
        <v>21</v>
      </c>
      <c r="Z77" s="103">
        <f>Y77*W77</f>
        <v>4200</v>
      </c>
      <c r="AA77" s="99">
        <v>300</v>
      </c>
      <c r="AB77" s="100">
        <f t="shared" si="20"/>
        <v>7500</v>
      </c>
      <c r="AC77" s="104"/>
      <c r="AD77" s="105"/>
      <c r="AE77" s="105"/>
      <c r="AF77" s="105">
        <f t="shared" si="25"/>
        <v>0</v>
      </c>
      <c r="AG77" s="99">
        <v>0</v>
      </c>
      <c r="AH77" s="100">
        <f t="shared" si="21"/>
        <v>0</v>
      </c>
      <c r="AI77" s="106">
        <v>600</v>
      </c>
      <c r="AJ77" s="107" t="s">
        <v>61</v>
      </c>
      <c r="AK77" s="107">
        <v>21</v>
      </c>
      <c r="AL77" s="107">
        <f>6300+7500</f>
        <v>13800</v>
      </c>
      <c r="AM77" s="99">
        <v>200</v>
      </c>
      <c r="AN77" s="100">
        <f t="shared" si="22"/>
        <v>5000</v>
      </c>
      <c r="AO77" s="108">
        <f t="shared" si="23"/>
        <v>700</v>
      </c>
      <c r="AP77" s="308">
        <f t="shared" si="24"/>
        <v>18000</v>
      </c>
    </row>
    <row r="78" spans="1:50" ht="20.45" customHeight="1">
      <c r="A78" s="85" t="s">
        <v>62</v>
      </c>
      <c r="B78" s="86">
        <v>4</v>
      </c>
      <c r="C78" s="87" t="s">
        <v>63</v>
      </c>
      <c r="D78" s="88">
        <v>789504</v>
      </c>
      <c r="E78" s="88"/>
      <c r="F78" s="89" t="s">
        <v>49</v>
      </c>
      <c r="G78" s="109" t="s">
        <v>64</v>
      </c>
      <c r="H78" s="109"/>
      <c r="I78" s="91">
        <v>1</v>
      </c>
      <c r="J78" s="92" t="s">
        <v>51</v>
      </c>
      <c r="K78" s="93">
        <v>1</v>
      </c>
      <c r="L78" s="93" t="s">
        <v>52</v>
      </c>
      <c r="M78" s="116">
        <f>4742/10*12</f>
        <v>5690.4</v>
      </c>
      <c r="N78" s="116">
        <f>5379/9*12</f>
        <v>7172</v>
      </c>
      <c r="O78" s="116">
        <v>8104</v>
      </c>
      <c r="P78" s="94">
        <v>8000</v>
      </c>
      <c r="Q78" s="95">
        <v>0</v>
      </c>
      <c r="R78" s="96">
        <f t="shared" ref="R78:R83" si="26">P78-Q78</f>
        <v>8000</v>
      </c>
      <c r="S78" s="97">
        <v>27</v>
      </c>
      <c r="T78" s="98">
        <f t="shared" si="18"/>
        <v>216000</v>
      </c>
      <c r="U78" s="111">
        <v>2500</v>
      </c>
      <c r="V78" s="100">
        <f t="shared" si="19"/>
        <v>67500</v>
      </c>
      <c r="W78" s="101">
        <f>500+300+200+1700</f>
        <v>2700</v>
      </c>
      <c r="X78" s="102" t="s">
        <v>61</v>
      </c>
      <c r="Y78" s="103">
        <v>21.5</v>
      </c>
      <c r="Z78" s="103">
        <f>6450+13000+5200+36550</f>
        <v>61200</v>
      </c>
      <c r="AA78" s="99">
        <v>2000</v>
      </c>
      <c r="AB78" s="100">
        <f t="shared" si="20"/>
        <v>54000</v>
      </c>
      <c r="AC78" s="104">
        <f>300+800+600</f>
        <v>1700</v>
      </c>
      <c r="AD78" s="105" t="s">
        <v>65</v>
      </c>
      <c r="AE78" s="105">
        <v>25</v>
      </c>
      <c r="AF78" s="105">
        <f t="shared" si="25"/>
        <v>42500</v>
      </c>
      <c r="AG78" s="99">
        <v>2000</v>
      </c>
      <c r="AH78" s="100">
        <f t="shared" si="21"/>
        <v>54000</v>
      </c>
      <c r="AI78" s="106">
        <f>500+600+400+600</f>
        <v>2100</v>
      </c>
      <c r="AJ78" s="107" t="s">
        <v>65</v>
      </c>
      <c r="AK78" s="107">
        <v>25</v>
      </c>
      <c r="AL78" s="107">
        <f>AK78*AI78</f>
        <v>52500</v>
      </c>
      <c r="AM78" s="99">
        <v>2000</v>
      </c>
      <c r="AN78" s="100">
        <f t="shared" si="22"/>
        <v>54000</v>
      </c>
      <c r="AO78" s="108">
        <f t="shared" si="23"/>
        <v>8500</v>
      </c>
      <c r="AP78" s="308">
        <f t="shared" si="24"/>
        <v>156200</v>
      </c>
    </row>
    <row r="79" spans="1:50" ht="20.45" customHeight="1">
      <c r="A79" s="85" t="s">
        <v>66</v>
      </c>
      <c r="B79" s="86">
        <v>5</v>
      </c>
      <c r="C79" s="87" t="s">
        <v>67</v>
      </c>
      <c r="D79" s="88">
        <v>789472</v>
      </c>
      <c r="E79" s="88"/>
      <c r="F79" s="89" t="s">
        <v>49</v>
      </c>
      <c r="G79" s="109" t="s">
        <v>68</v>
      </c>
      <c r="H79" s="109"/>
      <c r="I79" s="91">
        <v>1</v>
      </c>
      <c r="J79" s="92" t="s">
        <v>51</v>
      </c>
      <c r="K79" s="93">
        <v>1</v>
      </c>
      <c r="L79" s="93" t="s">
        <v>52</v>
      </c>
      <c r="M79" s="116">
        <f>1508/10*12</f>
        <v>1809.6000000000001</v>
      </c>
      <c r="N79" s="116">
        <f>1371/9*12</f>
        <v>1828</v>
      </c>
      <c r="O79" s="116">
        <v>2022.6666666666667</v>
      </c>
      <c r="P79" s="94">
        <v>2100</v>
      </c>
      <c r="Q79" s="95">
        <v>100</v>
      </c>
      <c r="R79" s="96">
        <f t="shared" si="26"/>
        <v>2000</v>
      </c>
      <c r="S79" s="97">
        <v>27</v>
      </c>
      <c r="T79" s="98">
        <f t="shared" si="18"/>
        <v>54000</v>
      </c>
      <c r="U79" s="99">
        <v>500</v>
      </c>
      <c r="V79" s="100">
        <f t="shared" si="19"/>
        <v>13500</v>
      </c>
      <c r="W79" s="101">
        <v>500</v>
      </c>
      <c r="X79" s="102" t="s">
        <v>53</v>
      </c>
      <c r="Y79" s="103">
        <v>25</v>
      </c>
      <c r="Z79" s="103">
        <f>Y79*W79</f>
        <v>12500</v>
      </c>
      <c r="AA79" s="99">
        <v>500</v>
      </c>
      <c r="AB79" s="100">
        <f t="shared" si="20"/>
        <v>13500</v>
      </c>
      <c r="AC79" s="104">
        <v>500</v>
      </c>
      <c r="AD79" s="105" t="s">
        <v>53</v>
      </c>
      <c r="AE79" s="105">
        <v>25</v>
      </c>
      <c r="AF79" s="105">
        <f t="shared" si="25"/>
        <v>12500</v>
      </c>
      <c r="AG79" s="99">
        <v>500</v>
      </c>
      <c r="AH79" s="100">
        <f t="shared" si="21"/>
        <v>13500</v>
      </c>
      <c r="AI79" s="106">
        <v>500</v>
      </c>
      <c r="AJ79" s="107" t="s">
        <v>53</v>
      </c>
      <c r="AK79" s="107">
        <v>25</v>
      </c>
      <c r="AL79" s="107">
        <f>AK79*AI79</f>
        <v>12500</v>
      </c>
      <c r="AM79" s="99">
        <v>500</v>
      </c>
      <c r="AN79" s="100">
        <f t="shared" si="22"/>
        <v>13500</v>
      </c>
      <c r="AO79" s="108">
        <f t="shared" si="23"/>
        <v>2000</v>
      </c>
      <c r="AP79" s="308">
        <f t="shared" si="24"/>
        <v>37500</v>
      </c>
    </row>
    <row r="80" spans="1:50" s="143" customFormat="1" ht="20.45" customHeight="1">
      <c r="A80" s="85" t="s">
        <v>69</v>
      </c>
      <c r="B80" s="86">
        <v>6</v>
      </c>
      <c r="C80" s="87" t="s">
        <v>70</v>
      </c>
      <c r="D80" s="88">
        <v>521322</v>
      </c>
      <c r="E80" s="88"/>
      <c r="F80" s="89" t="s">
        <v>71</v>
      </c>
      <c r="G80" s="113" t="s">
        <v>72</v>
      </c>
      <c r="H80" s="113"/>
      <c r="I80" s="114">
        <v>1</v>
      </c>
      <c r="J80" s="92" t="s">
        <v>51</v>
      </c>
      <c r="K80" s="93">
        <v>1</v>
      </c>
      <c r="L80" s="115" t="s">
        <v>73</v>
      </c>
      <c r="M80" s="116">
        <f>7950/10*12</f>
        <v>9540</v>
      </c>
      <c r="N80" s="116">
        <f>6500/9*12</f>
        <v>8666.6666666666661</v>
      </c>
      <c r="O80" s="116">
        <v>9200</v>
      </c>
      <c r="P80" s="94">
        <v>10000</v>
      </c>
      <c r="Q80" s="95">
        <v>0</v>
      </c>
      <c r="R80" s="96">
        <f t="shared" si="26"/>
        <v>10000</v>
      </c>
      <c r="S80" s="97">
        <v>5.35</v>
      </c>
      <c r="T80" s="98">
        <f t="shared" si="18"/>
        <v>53500</v>
      </c>
      <c r="U80" s="99">
        <v>3000</v>
      </c>
      <c r="V80" s="100">
        <f t="shared" si="19"/>
        <v>16049.999999999998</v>
      </c>
      <c r="W80" s="101">
        <v>3000</v>
      </c>
      <c r="X80" s="102" t="s">
        <v>74</v>
      </c>
      <c r="Y80" s="103">
        <f>95/50</f>
        <v>1.9</v>
      </c>
      <c r="Z80" s="103">
        <f>Y80*W80</f>
        <v>5700</v>
      </c>
      <c r="AA80" s="99">
        <v>2000</v>
      </c>
      <c r="AB80" s="100">
        <f t="shared" si="20"/>
        <v>10700</v>
      </c>
      <c r="AC80" s="104">
        <v>2000</v>
      </c>
      <c r="AD80" s="105" t="s">
        <v>74</v>
      </c>
      <c r="AE80" s="105">
        <f>95/50</f>
        <v>1.9</v>
      </c>
      <c r="AF80" s="105">
        <f t="shared" si="25"/>
        <v>3800</v>
      </c>
      <c r="AG80" s="99">
        <v>3000</v>
      </c>
      <c r="AH80" s="100">
        <f t="shared" si="21"/>
        <v>16049.999999999998</v>
      </c>
      <c r="AI80" s="106">
        <v>2000</v>
      </c>
      <c r="AJ80" s="107" t="s">
        <v>74</v>
      </c>
      <c r="AK80" s="107">
        <v>1.9</v>
      </c>
      <c r="AL80" s="107">
        <f>AK80*AI80</f>
        <v>3800</v>
      </c>
      <c r="AM80" s="99">
        <v>2000</v>
      </c>
      <c r="AN80" s="100">
        <f t="shared" si="22"/>
        <v>10700</v>
      </c>
      <c r="AO80" s="108">
        <f t="shared" si="23"/>
        <v>10000</v>
      </c>
      <c r="AP80" s="308">
        <f t="shared" si="24"/>
        <v>13300</v>
      </c>
      <c r="AQ80" s="3"/>
      <c r="AR80" s="3"/>
      <c r="AS80" s="3"/>
      <c r="AT80" s="3"/>
      <c r="AU80" s="3"/>
      <c r="AV80" s="3"/>
      <c r="AW80" s="3"/>
      <c r="AX80" s="3"/>
    </row>
    <row r="81" spans="1:50" ht="20.45" customHeight="1">
      <c r="A81" s="85" t="s">
        <v>75</v>
      </c>
      <c r="B81" s="86">
        <v>7</v>
      </c>
      <c r="C81" s="87" t="s">
        <v>76</v>
      </c>
      <c r="D81" s="88">
        <v>963385</v>
      </c>
      <c r="E81" s="88"/>
      <c r="F81" s="89" t="s">
        <v>77</v>
      </c>
      <c r="G81" s="109" t="s">
        <v>78</v>
      </c>
      <c r="H81" s="109"/>
      <c r="I81" s="91">
        <v>1</v>
      </c>
      <c r="J81" s="92" t="s">
        <v>51</v>
      </c>
      <c r="K81" s="93">
        <v>1</v>
      </c>
      <c r="L81" s="93" t="s">
        <v>52</v>
      </c>
      <c r="M81" s="116">
        <f>88/10*12</f>
        <v>105.60000000000001</v>
      </c>
      <c r="N81" s="116">
        <f>244/9*12</f>
        <v>325.33333333333331</v>
      </c>
      <c r="O81" s="116">
        <v>206.66666666666666</v>
      </c>
      <c r="P81" s="94">
        <v>250</v>
      </c>
      <c r="Q81" s="95">
        <v>150</v>
      </c>
      <c r="R81" s="96">
        <f t="shared" si="26"/>
        <v>100</v>
      </c>
      <c r="S81" s="110">
        <v>31</v>
      </c>
      <c r="T81" s="98">
        <f t="shared" si="18"/>
        <v>3100</v>
      </c>
      <c r="U81" s="111">
        <v>100</v>
      </c>
      <c r="V81" s="100">
        <f t="shared" si="19"/>
        <v>3100</v>
      </c>
      <c r="W81" s="101">
        <v>100</v>
      </c>
      <c r="X81" s="102" t="s">
        <v>53</v>
      </c>
      <c r="Y81" s="103">
        <v>30.4</v>
      </c>
      <c r="Z81" s="103">
        <f>Y81*W81</f>
        <v>3040</v>
      </c>
      <c r="AA81" s="99">
        <v>0</v>
      </c>
      <c r="AB81" s="100">
        <f t="shared" si="20"/>
        <v>0</v>
      </c>
      <c r="AC81" s="104"/>
      <c r="AD81" s="105"/>
      <c r="AE81" s="105"/>
      <c r="AF81" s="105"/>
      <c r="AG81" s="99">
        <v>0</v>
      </c>
      <c r="AH81" s="100">
        <f t="shared" si="21"/>
        <v>0</v>
      </c>
      <c r="AI81" s="106">
        <v>100</v>
      </c>
      <c r="AJ81" s="107" t="s">
        <v>53</v>
      </c>
      <c r="AK81" s="107">
        <v>30.4</v>
      </c>
      <c r="AL81" s="107">
        <f>AK81*AI81</f>
        <v>3040</v>
      </c>
      <c r="AM81" s="99">
        <v>0</v>
      </c>
      <c r="AN81" s="100">
        <f t="shared" si="22"/>
        <v>0</v>
      </c>
      <c r="AO81" s="108">
        <f t="shared" si="23"/>
        <v>100</v>
      </c>
      <c r="AP81" s="308">
        <f t="shared" si="24"/>
        <v>6080</v>
      </c>
    </row>
    <row r="82" spans="1:50" ht="20.45" customHeight="1">
      <c r="A82" s="85" t="s">
        <v>79</v>
      </c>
      <c r="B82" s="86">
        <v>8</v>
      </c>
      <c r="C82" s="87" t="s">
        <v>80</v>
      </c>
      <c r="D82" s="88">
        <v>228704</v>
      </c>
      <c r="E82" s="88"/>
      <c r="F82" s="89" t="s">
        <v>81</v>
      </c>
      <c r="G82" s="109" t="s">
        <v>82</v>
      </c>
      <c r="H82" s="109"/>
      <c r="I82" s="91">
        <v>1</v>
      </c>
      <c r="J82" s="92" t="s">
        <v>83</v>
      </c>
      <c r="K82" s="93">
        <v>100</v>
      </c>
      <c r="L82" s="93" t="s">
        <v>84</v>
      </c>
      <c r="M82" s="116">
        <f>7/10*12</f>
        <v>8.3999999999999986</v>
      </c>
      <c r="N82" s="116">
        <f>5/9*12</f>
        <v>6.666666666666667</v>
      </c>
      <c r="O82" s="116">
        <v>2.6666666666666665</v>
      </c>
      <c r="P82" s="94">
        <v>5</v>
      </c>
      <c r="Q82" s="95">
        <v>5</v>
      </c>
      <c r="R82" s="96">
        <f t="shared" si="26"/>
        <v>0</v>
      </c>
      <c r="S82" s="97">
        <v>175</v>
      </c>
      <c r="T82" s="98">
        <f t="shared" si="18"/>
        <v>0</v>
      </c>
      <c r="U82" s="99">
        <v>0</v>
      </c>
      <c r="V82" s="100">
        <f t="shared" si="19"/>
        <v>0</v>
      </c>
      <c r="W82" s="101"/>
      <c r="X82" s="102"/>
      <c r="Y82" s="103"/>
      <c r="Z82" s="103"/>
      <c r="AA82" s="99">
        <v>0</v>
      </c>
      <c r="AB82" s="100">
        <f t="shared" si="20"/>
        <v>0</v>
      </c>
      <c r="AC82" s="104"/>
      <c r="AD82" s="105"/>
      <c r="AE82" s="105"/>
      <c r="AF82" s="105"/>
      <c r="AG82" s="99">
        <v>0</v>
      </c>
      <c r="AH82" s="100">
        <f t="shared" si="21"/>
        <v>0</v>
      </c>
      <c r="AI82" s="106"/>
      <c r="AJ82" s="107"/>
      <c r="AK82" s="107"/>
      <c r="AL82" s="107"/>
      <c r="AM82" s="99">
        <v>0</v>
      </c>
      <c r="AN82" s="100">
        <f t="shared" si="22"/>
        <v>0</v>
      </c>
      <c r="AO82" s="108">
        <f t="shared" si="23"/>
        <v>0</v>
      </c>
      <c r="AP82" s="308">
        <f t="shared" si="24"/>
        <v>0</v>
      </c>
    </row>
    <row r="83" spans="1:50" ht="20.45" customHeight="1">
      <c r="A83" s="85" t="s">
        <v>85</v>
      </c>
      <c r="B83" s="86">
        <v>9</v>
      </c>
      <c r="C83" s="87">
        <v>536245</v>
      </c>
      <c r="D83" s="88">
        <v>536221</v>
      </c>
      <c r="E83" s="88"/>
      <c r="F83" s="117" t="s">
        <v>86</v>
      </c>
      <c r="G83" s="109" t="s">
        <v>87</v>
      </c>
      <c r="H83" s="109"/>
      <c r="I83" s="114">
        <v>1</v>
      </c>
      <c r="J83" s="118" t="s">
        <v>88</v>
      </c>
      <c r="K83" s="115">
        <v>1</v>
      </c>
      <c r="L83" s="115" t="s">
        <v>73</v>
      </c>
      <c r="M83" s="116">
        <f>600/10*12</f>
        <v>720</v>
      </c>
      <c r="N83" s="116">
        <f>400/9*12</f>
        <v>533.33333333333326</v>
      </c>
      <c r="O83" s="116">
        <v>813.33333333333337</v>
      </c>
      <c r="P83" s="94">
        <v>880</v>
      </c>
      <c r="Q83" s="95">
        <v>280</v>
      </c>
      <c r="R83" s="96">
        <f t="shared" si="26"/>
        <v>600</v>
      </c>
      <c r="S83" s="97">
        <v>20.329999999999998</v>
      </c>
      <c r="T83" s="98">
        <f t="shared" si="18"/>
        <v>12197.999999999998</v>
      </c>
      <c r="U83" s="99">
        <v>0</v>
      </c>
      <c r="V83" s="100">
        <f t="shared" si="19"/>
        <v>0</v>
      </c>
      <c r="W83" s="101">
        <f>2*300</f>
        <v>600</v>
      </c>
      <c r="X83" s="102" t="s">
        <v>89</v>
      </c>
      <c r="Y83" s="103">
        <v>18</v>
      </c>
      <c r="Z83" s="103">
        <f>Y83*W83</f>
        <v>10800</v>
      </c>
      <c r="AA83" s="99">
        <v>300</v>
      </c>
      <c r="AB83" s="100">
        <f t="shared" si="20"/>
        <v>6098.9999999999991</v>
      </c>
      <c r="AC83" s="104"/>
      <c r="AD83" s="105"/>
      <c r="AE83" s="105"/>
      <c r="AF83" s="105"/>
      <c r="AG83" s="99">
        <v>0</v>
      </c>
      <c r="AH83" s="100">
        <f t="shared" si="21"/>
        <v>0</v>
      </c>
      <c r="AI83" s="106"/>
      <c r="AJ83" s="107"/>
      <c r="AK83" s="107"/>
      <c r="AL83" s="107"/>
      <c r="AM83" s="99">
        <v>300</v>
      </c>
      <c r="AN83" s="100">
        <f t="shared" si="22"/>
        <v>6098.9999999999991</v>
      </c>
      <c r="AO83" s="108">
        <f t="shared" si="23"/>
        <v>600</v>
      </c>
      <c r="AP83" s="308">
        <f t="shared" si="24"/>
        <v>10800</v>
      </c>
    </row>
    <row r="84" spans="1:50" ht="20.45" customHeight="1">
      <c r="A84" s="85" t="s">
        <v>90</v>
      </c>
      <c r="B84" s="86">
        <v>10</v>
      </c>
      <c r="C84" s="87" t="s">
        <v>91</v>
      </c>
      <c r="D84" s="88">
        <v>836219</v>
      </c>
      <c r="E84" s="88"/>
      <c r="F84" s="89" t="s">
        <v>92</v>
      </c>
      <c r="G84" s="119" t="s">
        <v>93</v>
      </c>
      <c r="H84" s="119"/>
      <c r="I84" s="114">
        <v>1</v>
      </c>
      <c r="J84" s="118" t="s">
        <v>94</v>
      </c>
      <c r="K84" s="115">
        <v>1</v>
      </c>
      <c r="L84" s="115" t="s">
        <v>95</v>
      </c>
      <c r="M84" s="116">
        <f>245/10*12</f>
        <v>294</v>
      </c>
      <c r="N84" s="116">
        <f>174/9*12</f>
        <v>232</v>
      </c>
      <c r="O84" s="116">
        <v>24</v>
      </c>
      <c r="P84" s="94">
        <v>176</v>
      </c>
      <c r="Q84" s="95">
        <v>176</v>
      </c>
      <c r="R84" s="112">
        <v>50</v>
      </c>
      <c r="S84" s="120">
        <v>128.4</v>
      </c>
      <c r="T84" s="98">
        <f t="shared" si="18"/>
        <v>6420</v>
      </c>
      <c r="U84" s="99">
        <v>0</v>
      </c>
      <c r="V84" s="100">
        <f t="shared" si="19"/>
        <v>0</v>
      </c>
      <c r="W84" s="101"/>
      <c r="X84" s="102"/>
      <c r="Y84" s="103"/>
      <c r="Z84" s="103"/>
      <c r="AA84" s="99">
        <v>0</v>
      </c>
      <c r="AB84" s="100">
        <f t="shared" si="20"/>
        <v>0</v>
      </c>
      <c r="AC84" s="104"/>
      <c r="AD84" s="105"/>
      <c r="AE84" s="105"/>
      <c r="AF84" s="105"/>
      <c r="AG84" s="99">
        <v>50</v>
      </c>
      <c r="AH84" s="100">
        <f t="shared" si="21"/>
        <v>6420</v>
      </c>
      <c r="AI84" s="106"/>
      <c r="AJ84" s="107"/>
      <c r="AK84" s="107"/>
      <c r="AL84" s="107"/>
      <c r="AM84" s="99">
        <v>0</v>
      </c>
      <c r="AN84" s="100">
        <f t="shared" si="22"/>
        <v>0</v>
      </c>
      <c r="AO84" s="108">
        <f t="shared" si="23"/>
        <v>50</v>
      </c>
      <c r="AP84" s="308">
        <f t="shared" si="24"/>
        <v>0</v>
      </c>
    </row>
    <row r="85" spans="1:50" ht="20.45" customHeight="1">
      <c r="A85" s="85" t="s">
        <v>96</v>
      </c>
      <c r="B85" s="86">
        <v>11</v>
      </c>
      <c r="C85" s="87" t="s">
        <v>97</v>
      </c>
      <c r="D85" s="88">
        <v>230916</v>
      </c>
      <c r="E85" s="88"/>
      <c r="F85" s="89" t="s">
        <v>98</v>
      </c>
      <c r="G85" s="109" t="s">
        <v>99</v>
      </c>
      <c r="H85" s="109"/>
      <c r="I85" s="91">
        <v>1</v>
      </c>
      <c r="J85" s="92" t="s">
        <v>83</v>
      </c>
      <c r="K85" s="93">
        <v>100</v>
      </c>
      <c r="L85" s="93" t="s">
        <v>84</v>
      </c>
      <c r="M85" s="116">
        <f>42.7/10*12</f>
        <v>51.240000000000009</v>
      </c>
      <c r="N85" s="116">
        <f>79.1/9*12</f>
        <v>105.46666666666665</v>
      </c>
      <c r="O85" s="116">
        <v>110.13333333333333</v>
      </c>
      <c r="P85" s="94">
        <v>110</v>
      </c>
      <c r="Q85" s="95">
        <v>0</v>
      </c>
      <c r="R85" s="112">
        <v>118</v>
      </c>
      <c r="S85" s="110">
        <v>180</v>
      </c>
      <c r="T85" s="98">
        <f t="shared" si="18"/>
        <v>21240</v>
      </c>
      <c r="U85" s="111">
        <v>29</v>
      </c>
      <c r="V85" s="100">
        <f t="shared" si="19"/>
        <v>5220</v>
      </c>
      <c r="W85" s="101">
        <f>42*70/100</f>
        <v>29.4</v>
      </c>
      <c r="X85" s="102" t="s">
        <v>100</v>
      </c>
      <c r="Y85" s="103">
        <f>90/70*100</f>
        <v>128.57142857142858</v>
      </c>
      <c r="Z85" s="103">
        <f>Y85*W85</f>
        <v>3780</v>
      </c>
      <c r="AA85" s="111">
        <v>29</v>
      </c>
      <c r="AB85" s="100">
        <f t="shared" si="20"/>
        <v>5220</v>
      </c>
      <c r="AC85" s="104">
        <f>42*70/100</f>
        <v>29.4</v>
      </c>
      <c r="AD85" s="105" t="s">
        <v>101</v>
      </c>
      <c r="AE85" s="105">
        <f>101/70*100</f>
        <v>144.28571428571428</v>
      </c>
      <c r="AF85" s="105">
        <f>AE85*AC85</f>
        <v>4242</v>
      </c>
      <c r="AG85" s="99">
        <v>30</v>
      </c>
      <c r="AH85" s="100">
        <f t="shared" si="21"/>
        <v>5400</v>
      </c>
      <c r="AI85" s="106">
        <f>42*70/100</f>
        <v>29.4</v>
      </c>
      <c r="AJ85" s="107" t="s">
        <v>101</v>
      </c>
      <c r="AK85" s="107">
        <f>101/70*100</f>
        <v>144.28571428571428</v>
      </c>
      <c r="AL85" s="107">
        <f>AK85*AI85</f>
        <v>4242</v>
      </c>
      <c r="AM85" s="111">
        <v>30</v>
      </c>
      <c r="AN85" s="100">
        <f t="shared" si="22"/>
        <v>5400</v>
      </c>
      <c r="AO85" s="108">
        <f t="shared" si="23"/>
        <v>118</v>
      </c>
      <c r="AP85" s="308">
        <f t="shared" si="24"/>
        <v>12264</v>
      </c>
      <c r="AT85" s="121"/>
      <c r="AU85" s="121"/>
      <c r="AV85" s="121"/>
      <c r="AW85" s="121"/>
      <c r="AX85" s="121"/>
    </row>
    <row r="86" spans="1:50" ht="20.45" customHeight="1">
      <c r="A86" s="85" t="s">
        <v>102</v>
      </c>
      <c r="B86" s="86">
        <v>12</v>
      </c>
      <c r="C86" s="87" t="s">
        <v>103</v>
      </c>
      <c r="D86" s="88">
        <v>1247018</v>
      </c>
      <c r="E86" s="88"/>
      <c r="F86" s="89" t="s">
        <v>104</v>
      </c>
      <c r="G86" s="109" t="s">
        <v>105</v>
      </c>
      <c r="H86" s="109"/>
      <c r="I86" s="114">
        <v>1</v>
      </c>
      <c r="J86" s="92" t="s">
        <v>88</v>
      </c>
      <c r="K86" s="93">
        <v>1</v>
      </c>
      <c r="L86" s="93" t="s">
        <v>73</v>
      </c>
      <c r="M86" s="116">
        <f>62/10*12</f>
        <v>74.400000000000006</v>
      </c>
      <c r="N86" s="116">
        <f>155/9*12</f>
        <v>206.66666666666666</v>
      </c>
      <c r="O86" s="116">
        <v>13.333333333333334</v>
      </c>
      <c r="P86" s="94">
        <v>50</v>
      </c>
      <c r="Q86" s="95">
        <v>0</v>
      </c>
      <c r="R86" s="112">
        <v>150</v>
      </c>
      <c r="S86" s="122">
        <v>200</v>
      </c>
      <c r="T86" s="98">
        <f t="shared" si="18"/>
        <v>30000</v>
      </c>
      <c r="U86" s="99">
        <v>50</v>
      </c>
      <c r="V86" s="100">
        <f t="shared" si="19"/>
        <v>10000</v>
      </c>
      <c r="W86" s="101">
        <v>50</v>
      </c>
      <c r="X86" s="102" t="s">
        <v>74</v>
      </c>
      <c r="Y86" s="103">
        <v>195</v>
      </c>
      <c r="Z86" s="103">
        <f>Y86*W86</f>
        <v>9750</v>
      </c>
      <c r="AA86" s="99">
        <v>50</v>
      </c>
      <c r="AB86" s="100">
        <f t="shared" si="20"/>
        <v>10000</v>
      </c>
      <c r="AC86" s="104"/>
      <c r="AD86" s="105"/>
      <c r="AE86" s="105"/>
      <c r="AF86" s="105"/>
      <c r="AG86" s="99">
        <v>0</v>
      </c>
      <c r="AH86" s="100">
        <f t="shared" si="21"/>
        <v>0</v>
      </c>
      <c r="AI86" s="123">
        <v>50</v>
      </c>
      <c r="AJ86" s="107" t="s">
        <v>74</v>
      </c>
      <c r="AK86" s="107">
        <v>195</v>
      </c>
      <c r="AL86" s="107">
        <f>AK86*AI86</f>
        <v>9750</v>
      </c>
      <c r="AM86" s="99">
        <v>50</v>
      </c>
      <c r="AN86" s="100">
        <f t="shared" si="22"/>
        <v>10000</v>
      </c>
      <c r="AO86" s="108">
        <f t="shared" si="23"/>
        <v>150</v>
      </c>
      <c r="AP86" s="308">
        <f t="shared" si="24"/>
        <v>19500</v>
      </c>
      <c r="AT86" s="121"/>
      <c r="AU86" s="121"/>
      <c r="AV86" s="121"/>
      <c r="AW86" s="121"/>
      <c r="AX86" s="121"/>
    </row>
    <row r="87" spans="1:50" ht="20.45" customHeight="1">
      <c r="A87" s="85" t="s">
        <v>106</v>
      </c>
      <c r="B87" s="86">
        <v>13</v>
      </c>
      <c r="C87" s="87" t="s">
        <v>107</v>
      </c>
      <c r="D87" s="88">
        <v>810850</v>
      </c>
      <c r="E87" s="88"/>
      <c r="F87" s="89" t="s">
        <v>108</v>
      </c>
      <c r="G87" s="109" t="s">
        <v>109</v>
      </c>
      <c r="H87" s="109" t="s">
        <v>110</v>
      </c>
      <c r="I87" s="91">
        <v>1</v>
      </c>
      <c r="J87" s="92" t="s">
        <v>88</v>
      </c>
      <c r="K87" s="93">
        <v>1</v>
      </c>
      <c r="L87" s="93" t="s">
        <v>73</v>
      </c>
      <c r="M87" s="116">
        <f>835/10*12</f>
        <v>1002</v>
      </c>
      <c r="N87" s="116">
        <f>1204/9*12</f>
        <v>1605.3333333333333</v>
      </c>
      <c r="O87" s="116">
        <v>1161.3333333333333</v>
      </c>
      <c r="P87" s="94">
        <v>1330</v>
      </c>
      <c r="Q87" s="95">
        <v>330</v>
      </c>
      <c r="R87" s="96">
        <f>P87-Q87</f>
        <v>1000</v>
      </c>
      <c r="S87" s="97">
        <v>6.2060000000000004</v>
      </c>
      <c r="T87" s="98">
        <f t="shared" si="18"/>
        <v>6206</v>
      </c>
      <c r="U87" s="99">
        <v>900</v>
      </c>
      <c r="V87" s="100">
        <f t="shared" si="19"/>
        <v>5585.4000000000005</v>
      </c>
      <c r="W87" s="101">
        <v>900</v>
      </c>
      <c r="X87" s="102" t="s">
        <v>110</v>
      </c>
      <c r="Y87" s="103">
        <v>6</v>
      </c>
      <c r="Z87" s="103">
        <f>2400+3105</f>
        <v>5505</v>
      </c>
      <c r="AA87" s="99">
        <v>1000</v>
      </c>
      <c r="AB87" s="100">
        <f t="shared" si="20"/>
        <v>6206</v>
      </c>
      <c r="AC87" s="104"/>
      <c r="AD87" s="105"/>
      <c r="AE87" s="105"/>
      <c r="AF87" s="105"/>
      <c r="AG87" s="99">
        <v>0</v>
      </c>
      <c r="AH87" s="100">
        <f t="shared" si="21"/>
        <v>0</v>
      </c>
      <c r="AI87" s="106">
        <v>1000</v>
      </c>
      <c r="AJ87" s="107" t="s">
        <v>110</v>
      </c>
      <c r="AK87" s="124">
        <v>6.21</v>
      </c>
      <c r="AL87" s="107">
        <f>AK87*AI87</f>
        <v>6210</v>
      </c>
      <c r="AM87" s="99">
        <v>0</v>
      </c>
      <c r="AN87" s="100">
        <f t="shared" si="22"/>
        <v>0</v>
      </c>
      <c r="AO87" s="108">
        <f t="shared" si="23"/>
        <v>1900</v>
      </c>
      <c r="AP87" s="308">
        <f t="shared" si="24"/>
        <v>11715</v>
      </c>
    </row>
    <row r="88" spans="1:50" ht="20.45" customHeight="1">
      <c r="A88" s="85" t="s">
        <v>111</v>
      </c>
      <c r="B88" s="86">
        <v>14</v>
      </c>
      <c r="C88" s="87" t="s">
        <v>112</v>
      </c>
      <c r="D88" s="88">
        <v>689887</v>
      </c>
      <c r="E88" s="88"/>
      <c r="F88" s="89" t="s">
        <v>113</v>
      </c>
      <c r="G88" s="109" t="s">
        <v>114</v>
      </c>
      <c r="H88" s="109"/>
      <c r="I88" s="91">
        <v>1</v>
      </c>
      <c r="J88" s="92" t="s">
        <v>115</v>
      </c>
      <c r="K88" s="93">
        <v>1</v>
      </c>
      <c r="L88" s="93" t="s">
        <v>116</v>
      </c>
      <c r="M88" s="116">
        <f>6828/10*12</f>
        <v>8193.5999999999985</v>
      </c>
      <c r="N88" s="116">
        <f>6250/9*12</f>
        <v>8333.3333333333339</v>
      </c>
      <c r="O88" s="116">
        <v>7669.333333333333</v>
      </c>
      <c r="P88" s="94">
        <v>7600</v>
      </c>
      <c r="Q88" s="95">
        <v>1600</v>
      </c>
      <c r="R88" s="96">
        <f>P88-Q88</f>
        <v>6000</v>
      </c>
      <c r="S88" s="97">
        <v>20.010000000000002</v>
      </c>
      <c r="T88" s="98">
        <f t="shared" si="18"/>
        <v>120060.00000000001</v>
      </c>
      <c r="U88" s="99">
        <v>1500</v>
      </c>
      <c r="V88" s="100">
        <f t="shared" si="19"/>
        <v>30015.000000000004</v>
      </c>
      <c r="W88" s="101">
        <v>1500</v>
      </c>
      <c r="X88" s="102" t="s">
        <v>117</v>
      </c>
      <c r="Y88" s="103">
        <v>17</v>
      </c>
      <c r="Z88" s="103">
        <f>Y88*W88</f>
        <v>25500</v>
      </c>
      <c r="AA88" s="99">
        <v>1500</v>
      </c>
      <c r="AB88" s="100">
        <f t="shared" si="20"/>
        <v>30015.000000000004</v>
      </c>
      <c r="AC88" s="104">
        <v>1500</v>
      </c>
      <c r="AD88" s="105" t="s">
        <v>117</v>
      </c>
      <c r="AE88" s="105">
        <v>17</v>
      </c>
      <c r="AF88" s="105">
        <f t="shared" ref="AF88:AF95" si="27">AE88*AC88</f>
        <v>25500</v>
      </c>
      <c r="AG88" s="99">
        <v>1500</v>
      </c>
      <c r="AH88" s="100">
        <f t="shared" si="21"/>
        <v>30015.000000000004</v>
      </c>
      <c r="AI88" s="106">
        <v>1500</v>
      </c>
      <c r="AJ88" s="107" t="s">
        <v>117</v>
      </c>
      <c r="AK88" s="107">
        <v>17</v>
      </c>
      <c r="AL88" s="107">
        <f>AK88*AI88</f>
        <v>25500</v>
      </c>
      <c r="AM88" s="99">
        <v>1500</v>
      </c>
      <c r="AN88" s="100">
        <f t="shared" si="22"/>
        <v>30015.000000000004</v>
      </c>
      <c r="AO88" s="108">
        <f t="shared" si="23"/>
        <v>6000</v>
      </c>
      <c r="AP88" s="308">
        <f t="shared" si="24"/>
        <v>76500</v>
      </c>
    </row>
    <row r="89" spans="1:50" ht="20.45" customHeight="1">
      <c r="A89" s="85" t="s">
        <v>118</v>
      </c>
      <c r="B89" s="86">
        <v>15</v>
      </c>
      <c r="C89" s="87" t="s">
        <v>119</v>
      </c>
      <c r="D89" s="88">
        <v>738144</v>
      </c>
      <c r="E89" s="88"/>
      <c r="F89" s="89" t="s">
        <v>120</v>
      </c>
      <c r="G89" s="109" t="s">
        <v>121</v>
      </c>
      <c r="H89" s="109"/>
      <c r="I89" s="91">
        <v>1</v>
      </c>
      <c r="J89" s="92" t="s">
        <v>83</v>
      </c>
      <c r="K89" s="93">
        <v>1000</v>
      </c>
      <c r="L89" s="93" t="s">
        <v>84</v>
      </c>
      <c r="M89" s="116">
        <f>11.5*10/12</f>
        <v>9.5833333333333339</v>
      </c>
      <c r="N89" s="116">
        <f>5/9*12</f>
        <v>6.666666666666667</v>
      </c>
      <c r="O89" s="116">
        <v>6.666666666666667</v>
      </c>
      <c r="P89" s="94">
        <v>7</v>
      </c>
      <c r="Q89" s="95">
        <v>0</v>
      </c>
      <c r="R89" s="96">
        <f>P89-Q89</f>
        <v>7</v>
      </c>
      <c r="S89" s="125">
        <v>600</v>
      </c>
      <c r="T89" s="98">
        <f t="shared" si="18"/>
        <v>4200</v>
      </c>
      <c r="U89" s="99">
        <v>0</v>
      </c>
      <c r="V89" s="100">
        <f t="shared" si="19"/>
        <v>0</v>
      </c>
      <c r="W89" s="101"/>
      <c r="X89" s="102"/>
      <c r="Y89" s="103"/>
      <c r="Z89" s="103"/>
      <c r="AA89" s="99">
        <v>0</v>
      </c>
      <c r="AB89" s="100">
        <f t="shared" si="20"/>
        <v>0</v>
      </c>
      <c r="AC89" s="104">
        <v>7</v>
      </c>
      <c r="AD89" s="105" t="s">
        <v>122</v>
      </c>
      <c r="AE89" s="105">
        <v>600</v>
      </c>
      <c r="AF89" s="105">
        <f t="shared" si="27"/>
        <v>4200</v>
      </c>
      <c r="AG89" s="99">
        <v>7</v>
      </c>
      <c r="AH89" s="100">
        <f t="shared" si="21"/>
        <v>4200</v>
      </c>
      <c r="AI89" s="106"/>
      <c r="AJ89" s="107"/>
      <c r="AK89" s="107"/>
      <c r="AL89" s="107"/>
      <c r="AM89" s="99">
        <v>0</v>
      </c>
      <c r="AN89" s="100">
        <f t="shared" si="22"/>
        <v>0</v>
      </c>
      <c r="AO89" s="108">
        <f t="shared" si="23"/>
        <v>7</v>
      </c>
      <c r="AP89" s="308">
        <f t="shared" si="24"/>
        <v>4200</v>
      </c>
      <c r="AT89" s="126"/>
      <c r="AU89" s="126"/>
      <c r="AV89" s="126"/>
      <c r="AW89" s="126"/>
      <c r="AX89" s="126"/>
    </row>
    <row r="90" spans="1:50" ht="20.45" customHeight="1">
      <c r="A90" s="85" t="s">
        <v>123</v>
      </c>
      <c r="B90" s="86">
        <v>16</v>
      </c>
      <c r="C90" s="87" t="s">
        <v>124</v>
      </c>
      <c r="D90" s="88">
        <v>582079</v>
      </c>
      <c r="E90" s="88"/>
      <c r="F90" s="89" t="s">
        <v>125</v>
      </c>
      <c r="G90" s="109" t="s">
        <v>126</v>
      </c>
      <c r="H90" s="109" t="s">
        <v>110</v>
      </c>
      <c r="I90" s="91">
        <v>1</v>
      </c>
      <c r="J90" s="92" t="s">
        <v>115</v>
      </c>
      <c r="K90" s="93">
        <v>1</v>
      </c>
      <c r="L90" s="93" t="s">
        <v>127</v>
      </c>
      <c r="M90" s="116">
        <f>141/10*12</f>
        <v>169.2</v>
      </c>
      <c r="N90" s="116">
        <f>127/9*12</f>
        <v>169.33333333333331</v>
      </c>
      <c r="O90" s="116">
        <v>92</v>
      </c>
      <c r="P90" s="94">
        <v>100</v>
      </c>
      <c r="Q90" s="95">
        <v>0</v>
      </c>
      <c r="R90" s="112">
        <v>200</v>
      </c>
      <c r="S90" s="97">
        <v>14.45</v>
      </c>
      <c r="T90" s="98">
        <f t="shared" si="18"/>
        <v>2890</v>
      </c>
      <c r="U90" s="99">
        <v>0</v>
      </c>
      <c r="V90" s="100">
        <f t="shared" si="19"/>
        <v>0</v>
      </c>
      <c r="W90" s="101"/>
      <c r="X90" s="102"/>
      <c r="Y90" s="103"/>
      <c r="Z90" s="103"/>
      <c r="AA90" s="99">
        <v>100</v>
      </c>
      <c r="AB90" s="100">
        <f t="shared" si="20"/>
        <v>1445</v>
      </c>
      <c r="AC90" s="104">
        <v>100</v>
      </c>
      <c r="AD90" s="105" t="s">
        <v>110</v>
      </c>
      <c r="AE90" s="105">
        <v>14.45</v>
      </c>
      <c r="AF90" s="105">
        <f t="shared" si="27"/>
        <v>1445</v>
      </c>
      <c r="AG90" s="99">
        <v>0</v>
      </c>
      <c r="AH90" s="100">
        <f t="shared" si="21"/>
        <v>0</v>
      </c>
      <c r="AI90" s="106"/>
      <c r="AJ90" s="107"/>
      <c r="AK90" s="107"/>
      <c r="AL90" s="107"/>
      <c r="AM90" s="99">
        <v>100</v>
      </c>
      <c r="AN90" s="100">
        <f t="shared" si="22"/>
        <v>1445</v>
      </c>
      <c r="AO90" s="108">
        <f t="shared" si="23"/>
        <v>200</v>
      </c>
      <c r="AP90" s="308">
        <f t="shared" si="24"/>
        <v>1445</v>
      </c>
      <c r="AT90" s="126"/>
      <c r="AU90" s="126"/>
      <c r="AV90" s="126"/>
      <c r="AW90" s="126"/>
      <c r="AX90" s="126"/>
    </row>
    <row r="91" spans="1:50" ht="20.45" customHeight="1">
      <c r="A91" s="85" t="s">
        <v>128</v>
      </c>
      <c r="B91" s="86">
        <v>17</v>
      </c>
      <c r="C91" s="87" t="s">
        <v>129</v>
      </c>
      <c r="D91" s="88">
        <v>582120</v>
      </c>
      <c r="E91" s="88"/>
      <c r="F91" s="89" t="s">
        <v>130</v>
      </c>
      <c r="G91" s="109" t="s">
        <v>131</v>
      </c>
      <c r="H91" s="109" t="s">
        <v>110</v>
      </c>
      <c r="I91" s="91">
        <v>1</v>
      </c>
      <c r="J91" s="92" t="s">
        <v>83</v>
      </c>
      <c r="K91" s="93">
        <v>100</v>
      </c>
      <c r="L91" s="93" t="s">
        <v>84</v>
      </c>
      <c r="M91" s="116">
        <f>28/10*12</f>
        <v>33.599999999999994</v>
      </c>
      <c r="N91" s="116">
        <f>34/9*12</f>
        <v>45.333333333333329</v>
      </c>
      <c r="O91" s="116">
        <v>38.666666666666664</v>
      </c>
      <c r="P91" s="94">
        <v>40</v>
      </c>
      <c r="Q91" s="95">
        <v>0</v>
      </c>
      <c r="R91" s="96">
        <f t="shared" ref="R91:R96" si="28">P91-Q91</f>
        <v>40</v>
      </c>
      <c r="S91" s="97">
        <v>280</v>
      </c>
      <c r="T91" s="98">
        <f t="shared" si="18"/>
        <v>11200</v>
      </c>
      <c r="U91" s="99">
        <v>10</v>
      </c>
      <c r="V91" s="100">
        <f t="shared" si="19"/>
        <v>2800</v>
      </c>
      <c r="W91" s="101">
        <v>10</v>
      </c>
      <c r="X91" s="102" t="s">
        <v>110</v>
      </c>
      <c r="Y91" s="103">
        <v>165</v>
      </c>
      <c r="Z91" s="103">
        <f>Y91*W91</f>
        <v>1650</v>
      </c>
      <c r="AA91" s="99">
        <v>10</v>
      </c>
      <c r="AB91" s="100">
        <f t="shared" si="20"/>
        <v>2800</v>
      </c>
      <c r="AC91" s="104">
        <v>10</v>
      </c>
      <c r="AD91" s="105" t="s">
        <v>110</v>
      </c>
      <c r="AE91" s="105">
        <v>165</v>
      </c>
      <c r="AF91" s="105">
        <f t="shared" si="27"/>
        <v>1650</v>
      </c>
      <c r="AG91" s="99">
        <v>10</v>
      </c>
      <c r="AH91" s="100">
        <f t="shared" si="21"/>
        <v>2800</v>
      </c>
      <c r="AI91" s="106">
        <v>10</v>
      </c>
      <c r="AJ91" s="107" t="s">
        <v>110</v>
      </c>
      <c r="AK91" s="107">
        <v>165</v>
      </c>
      <c r="AL91" s="107">
        <f>AK91*AI91</f>
        <v>1650</v>
      </c>
      <c r="AM91" s="99">
        <v>10</v>
      </c>
      <c r="AN91" s="100">
        <f t="shared" si="22"/>
        <v>2800</v>
      </c>
      <c r="AO91" s="108">
        <f t="shared" si="23"/>
        <v>40</v>
      </c>
      <c r="AP91" s="308">
        <f t="shared" si="24"/>
        <v>4950</v>
      </c>
      <c r="AT91" s="126"/>
      <c r="AU91" s="126"/>
      <c r="AV91" s="126"/>
      <c r="AW91" s="126"/>
      <c r="AX91" s="126"/>
    </row>
    <row r="92" spans="1:50" ht="20.45" customHeight="1">
      <c r="A92" s="85" t="s">
        <v>132</v>
      </c>
      <c r="B92" s="86">
        <v>18</v>
      </c>
      <c r="C92" s="87" t="s">
        <v>133</v>
      </c>
      <c r="D92" s="88">
        <v>846547</v>
      </c>
      <c r="E92" s="88"/>
      <c r="F92" s="89" t="s">
        <v>134</v>
      </c>
      <c r="G92" s="109" t="s">
        <v>135</v>
      </c>
      <c r="H92" s="109" t="s">
        <v>110</v>
      </c>
      <c r="I92" s="91">
        <v>1</v>
      </c>
      <c r="J92" s="92" t="s">
        <v>51</v>
      </c>
      <c r="K92" s="93">
        <v>1</v>
      </c>
      <c r="L92" s="93" t="s">
        <v>52</v>
      </c>
      <c r="M92" s="116">
        <f>1436/10*12</f>
        <v>1723.1999999999998</v>
      </c>
      <c r="N92" s="116">
        <f>1249/9*12</f>
        <v>1665.3333333333333</v>
      </c>
      <c r="O92" s="116">
        <v>1502.6666666666667</v>
      </c>
      <c r="P92" s="94">
        <v>1560</v>
      </c>
      <c r="Q92" s="95">
        <v>360</v>
      </c>
      <c r="R92" s="96">
        <f t="shared" si="28"/>
        <v>1200</v>
      </c>
      <c r="S92" s="97">
        <v>27.82</v>
      </c>
      <c r="T92" s="98">
        <f t="shared" si="18"/>
        <v>33384</v>
      </c>
      <c r="U92" s="99">
        <v>300</v>
      </c>
      <c r="V92" s="100">
        <f t="shared" si="19"/>
        <v>8346</v>
      </c>
      <c r="W92" s="101">
        <v>300</v>
      </c>
      <c r="X92" s="102" t="s">
        <v>110</v>
      </c>
      <c r="Y92" s="103">
        <v>27.82</v>
      </c>
      <c r="Z92" s="103">
        <f>Y92*W92</f>
        <v>8346</v>
      </c>
      <c r="AA92" s="99">
        <v>300</v>
      </c>
      <c r="AB92" s="100">
        <f t="shared" si="20"/>
        <v>8346</v>
      </c>
      <c r="AC92" s="104">
        <v>300</v>
      </c>
      <c r="AD92" s="105" t="s">
        <v>110</v>
      </c>
      <c r="AE92" s="105">
        <v>27.82</v>
      </c>
      <c r="AF92" s="105">
        <f t="shared" si="27"/>
        <v>8346</v>
      </c>
      <c r="AG92" s="99">
        <v>300</v>
      </c>
      <c r="AH92" s="100">
        <f t="shared" si="21"/>
        <v>8346</v>
      </c>
      <c r="AI92" s="106">
        <v>300</v>
      </c>
      <c r="AJ92" s="107" t="s">
        <v>110</v>
      </c>
      <c r="AK92" s="107">
        <v>27.82</v>
      </c>
      <c r="AL92" s="107">
        <f>AK92*AI92</f>
        <v>8346</v>
      </c>
      <c r="AM92" s="99">
        <v>300</v>
      </c>
      <c r="AN92" s="100">
        <f t="shared" si="22"/>
        <v>8346</v>
      </c>
      <c r="AO92" s="108">
        <f t="shared" si="23"/>
        <v>1200</v>
      </c>
      <c r="AP92" s="308">
        <f t="shared" si="24"/>
        <v>25038</v>
      </c>
      <c r="AT92" s="126"/>
      <c r="AU92" s="126"/>
      <c r="AV92" s="126"/>
      <c r="AW92" s="126"/>
      <c r="AX92" s="126"/>
    </row>
    <row r="93" spans="1:50" ht="20.45" customHeight="1">
      <c r="A93" s="85" t="s">
        <v>136</v>
      </c>
      <c r="B93" s="86">
        <v>19</v>
      </c>
      <c r="C93" s="87" t="s">
        <v>137</v>
      </c>
      <c r="D93" s="88">
        <v>766081</v>
      </c>
      <c r="E93" s="88"/>
      <c r="F93" s="89" t="s">
        <v>134</v>
      </c>
      <c r="G93" s="109" t="s">
        <v>138</v>
      </c>
      <c r="H93" s="109" t="s">
        <v>110</v>
      </c>
      <c r="I93" s="91">
        <v>1</v>
      </c>
      <c r="J93" s="92" t="s">
        <v>51</v>
      </c>
      <c r="K93" s="93">
        <v>1</v>
      </c>
      <c r="L93" s="93" t="s">
        <v>52</v>
      </c>
      <c r="M93" s="116">
        <f>4446/10*12</f>
        <v>5335.2000000000007</v>
      </c>
      <c r="N93" s="116">
        <f>4588/9*12</f>
        <v>6117.333333333333</v>
      </c>
      <c r="O93" s="116">
        <v>5881.333333333333</v>
      </c>
      <c r="P93" s="94">
        <v>5760</v>
      </c>
      <c r="Q93" s="95">
        <v>760</v>
      </c>
      <c r="R93" s="96">
        <f t="shared" si="28"/>
        <v>5000</v>
      </c>
      <c r="S93" s="125">
        <v>9.1</v>
      </c>
      <c r="T93" s="98">
        <f t="shared" si="18"/>
        <v>45500</v>
      </c>
      <c r="U93" s="99">
        <v>1500</v>
      </c>
      <c r="V93" s="100">
        <f t="shared" si="19"/>
        <v>13650</v>
      </c>
      <c r="W93" s="101">
        <v>1500</v>
      </c>
      <c r="X93" s="102" t="s">
        <v>110</v>
      </c>
      <c r="Y93" s="127">
        <v>9.1</v>
      </c>
      <c r="Z93" s="103">
        <f>Y93*W93</f>
        <v>13650</v>
      </c>
      <c r="AA93" s="99">
        <v>1500</v>
      </c>
      <c r="AB93" s="100">
        <f t="shared" si="20"/>
        <v>13650</v>
      </c>
      <c r="AC93" s="104">
        <v>1500</v>
      </c>
      <c r="AD93" s="105" t="s">
        <v>110</v>
      </c>
      <c r="AE93" s="105">
        <v>9.1</v>
      </c>
      <c r="AF93" s="105">
        <f t="shared" si="27"/>
        <v>13650</v>
      </c>
      <c r="AG93" s="99">
        <v>1000</v>
      </c>
      <c r="AH93" s="100">
        <f t="shared" si="21"/>
        <v>9100</v>
      </c>
      <c r="AI93" s="106"/>
      <c r="AJ93" s="107"/>
      <c r="AK93" s="107"/>
      <c r="AL93" s="107">
        <f>AK93*AI93</f>
        <v>0</v>
      </c>
      <c r="AM93" s="99">
        <v>1000</v>
      </c>
      <c r="AN93" s="100">
        <f t="shared" si="22"/>
        <v>9100</v>
      </c>
      <c r="AO93" s="108">
        <f t="shared" si="23"/>
        <v>5000</v>
      </c>
      <c r="AP93" s="308">
        <f t="shared" si="24"/>
        <v>27300</v>
      </c>
      <c r="AT93" s="126"/>
      <c r="AU93" s="126"/>
      <c r="AV93" s="126"/>
      <c r="AW93" s="126"/>
      <c r="AX93" s="126"/>
    </row>
    <row r="94" spans="1:50" ht="20.45" customHeight="1">
      <c r="A94" s="85" t="s">
        <v>139</v>
      </c>
      <c r="B94" s="86">
        <v>20</v>
      </c>
      <c r="C94" s="87" t="s">
        <v>140</v>
      </c>
      <c r="D94" s="88">
        <v>846547</v>
      </c>
      <c r="E94" s="88"/>
      <c r="F94" s="128" t="s">
        <v>141</v>
      </c>
      <c r="G94" s="109" t="s">
        <v>142</v>
      </c>
      <c r="H94" s="109" t="s">
        <v>110</v>
      </c>
      <c r="I94" s="91">
        <v>1</v>
      </c>
      <c r="J94" s="92" t="s">
        <v>51</v>
      </c>
      <c r="K94" s="93">
        <v>1</v>
      </c>
      <c r="L94" s="93" t="s">
        <v>52</v>
      </c>
      <c r="M94" s="116">
        <f>821/10*12</f>
        <v>985.19999999999993</v>
      </c>
      <c r="N94" s="116">
        <f>607/9*12</f>
        <v>809.33333333333326</v>
      </c>
      <c r="O94" s="116">
        <v>664</v>
      </c>
      <c r="P94" s="94">
        <v>700</v>
      </c>
      <c r="Q94" s="95">
        <v>200</v>
      </c>
      <c r="R94" s="96">
        <f t="shared" si="28"/>
        <v>500</v>
      </c>
      <c r="S94" s="97">
        <v>60</v>
      </c>
      <c r="T94" s="98">
        <f t="shared" si="18"/>
        <v>30000</v>
      </c>
      <c r="U94" s="99">
        <v>0</v>
      </c>
      <c r="V94" s="100">
        <f t="shared" si="19"/>
        <v>0</v>
      </c>
      <c r="W94" s="101"/>
      <c r="X94" s="102"/>
      <c r="Y94" s="103"/>
      <c r="Z94" s="103"/>
      <c r="AA94" s="111">
        <v>200</v>
      </c>
      <c r="AB94" s="100">
        <f t="shared" si="20"/>
        <v>12000</v>
      </c>
      <c r="AC94" s="104">
        <v>200</v>
      </c>
      <c r="AD94" s="105" t="s">
        <v>110</v>
      </c>
      <c r="AE94" s="105">
        <v>59.92</v>
      </c>
      <c r="AF94" s="105">
        <f t="shared" si="27"/>
        <v>11984</v>
      </c>
      <c r="AG94" s="99">
        <v>300</v>
      </c>
      <c r="AH94" s="100">
        <f t="shared" si="21"/>
        <v>18000</v>
      </c>
      <c r="AI94" s="106">
        <v>300</v>
      </c>
      <c r="AJ94" s="107" t="s">
        <v>110</v>
      </c>
      <c r="AK94" s="107">
        <v>59.92</v>
      </c>
      <c r="AL94" s="107">
        <f>AK94*AI94</f>
        <v>17976</v>
      </c>
      <c r="AM94" s="99">
        <v>0</v>
      </c>
      <c r="AN94" s="100">
        <f t="shared" si="22"/>
        <v>0</v>
      </c>
      <c r="AO94" s="108">
        <f t="shared" si="23"/>
        <v>500</v>
      </c>
      <c r="AP94" s="308">
        <f t="shared" si="24"/>
        <v>29960</v>
      </c>
    </row>
    <row r="95" spans="1:50" ht="20.45" customHeight="1">
      <c r="A95" s="85" t="s">
        <v>152</v>
      </c>
      <c r="B95" s="86">
        <v>23</v>
      </c>
      <c r="C95" s="87" t="s">
        <v>153</v>
      </c>
      <c r="D95" s="88">
        <v>519453</v>
      </c>
      <c r="E95" s="88"/>
      <c r="F95" s="89" t="s">
        <v>154</v>
      </c>
      <c r="G95" s="109" t="s">
        <v>155</v>
      </c>
      <c r="H95" s="109"/>
      <c r="I95" s="91">
        <v>1</v>
      </c>
      <c r="J95" s="92" t="s">
        <v>88</v>
      </c>
      <c r="K95" s="93">
        <v>1</v>
      </c>
      <c r="L95" s="93" t="s">
        <v>73</v>
      </c>
      <c r="M95" s="116">
        <f>325/10*12</f>
        <v>390</v>
      </c>
      <c r="N95" s="116">
        <f>540/9*12</f>
        <v>720</v>
      </c>
      <c r="O95" s="116">
        <v>400</v>
      </c>
      <c r="P95" s="94">
        <v>430</v>
      </c>
      <c r="Q95" s="95">
        <v>130</v>
      </c>
      <c r="R95" s="96">
        <f t="shared" si="28"/>
        <v>300</v>
      </c>
      <c r="S95" s="97">
        <v>92.733333333333306</v>
      </c>
      <c r="T95" s="98">
        <f t="shared" si="18"/>
        <v>27819.999999999993</v>
      </c>
      <c r="U95" s="99">
        <v>100</v>
      </c>
      <c r="V95" s="100">
        <f t="shared" si="19"/>
        <v>9273.3333333333303</v>
      </c>
      <c r="W95" s="101">
        <v>100</v>
      </c>
      <c r="X95" s="102" t="s">
        <v>74</v>
      </c>
      <c r="Y95" s="103">
        <v>78</v>
      </c>
      <c r="Z95" s="103">
        <f>Y95*W95</f>
        <v>7800</v>
      </c>
      <c r="AA95" s="99">
        <v>100</v>
      </c>
      <c r="AB95" s="100">
        <f t="shared" si="20"/>
        <v>9273.3333333333303</v>
      </c>
      <c r="AC95" s="104">
        <f>2*100</f>
        <v>200</v>
      </c>
      <c r="AD95" s="105" t="s">
        <v>74</v>
      </c>
      <c r="AE95" s="105">
        <v>78</v>
      </c>
      <c r="AF95" s="105">
        <f t="shared" si="27"/>
        <v>15600</v>
      </c>
      <c r="AG95" s="99">
        <v>100</v>
      </c>
      <c r="AH95" s="100">
        <f t="shared" si="21"/>
        <v>9273.3333333333303</v>
      </c>
      <c r="AI95" s="106"/>
      <c r="AJ95" s="107"/>
      <c r="AK95" s="107"/>
      <c r="AL95" s="107"/>
      <c r="AM95" s="99">
        <v>0</v>
      </c>
      <c r="AN95" s="100">
        <f t="shared" si="22"/>
        <v>0</v>
      </c>
      <c r="AO95" s="108">
        <f t="shared" si="23"/>
        <v>300</v>
      </c>
      <c r="AP95" s="308">
        <f t="shared" si="24"/>
        <v>23400</v>
      </c>
    </row>
    <row r="96" spans="1:50" s="121" customFormat="1" ht="20.45" customHeight="1">
      <c r="A96" s="85" t="s">
        <v>156</v>
      </c>
      <c r="B96" s="86">
        <v>24</v>
      </c>
      <c r="C96" s="87" t="s">
        <v>157</v>
      </c>
      <c r="D96" s="88">
        <v>244734</v>
      </c>
      <c r="E96" s="88"/>
      <c r="F96" s="89" t="s">
        <v>158</v>
      </c>
      <c r="G96" s="109" t="s">
        <v>159</v>
      </c>
      <c r="H96" s="109" t="s">
        <v>110</v>
      </c>
      <c r="I96" s="91">
        <v>1</v>
      </c>
      <c r="J96" s="92" t="s">
        <v>83</v>
      </c>
      <c r="K96" s="93">
        <v>1000</v>
      </c>
      <c r="L96" s="93" t="s">
        <v>84</v>
      </c>
      <c r="M96" s="116">
        <f>94.5/10*12</f>
        <v>113.39999999999999</v>
      </c>
      <c r="N96" s="116">
        <f>69/9*12</f>
        <v>92</v>
      </c>
      <c r="O96" s="116">
        <v>64.666666666666671</v>
      </c>
      <c r="P96" s="94">
        <v>70</v>
      </c>
      <c r="Q96" s="95">
        <v>10</v>
      </c>
      <c r="R96" s="96">
        <f t="shared" si="28"/>
        <v>60</v>
      </c>
      <c r="S96" s="129">
        <v>350</v>
      </c>
      <c r="T96" s="98">
        <f t="shared" si="18"/>
        <v>21000</v>
      </c>
      <c r="U96" s="111">
        <v>30</v>
      </c>
      <c r="V96" s="100">
        <f t="shared" si="19"/>
        <v>10500</v>
      </c>
      <c r="W96" s="101">
        <f>2*15</f>
        <v>30</v>
      </c>
      <c r="X96" s="102" t="s">
        <v>160</v>
      </c>
      <c r="Y96" s="103">
        <f>175*2</f>
        <v>350</v>
      </c>
      <c r="Z96" s="103">
        <f>Y96*W96</f>
        <v>10500</v>
      </c>
      <c r="AA96" s="99">
        <v>0</v>
      </c>
      <c r="AB96" s="100">
        <f t="shared" si="20"/>
        <v>0</v>
      </c>
      <c r="AC96" s="104"/>
      <c r="AD96" s="105"/>
      <c r="AE96" s="105"/>
      <c r="AF96" s="105"/>
      <c r="AG96" s="99">
        <v>15</v>
      </c>
      <c r="AH96" s="100">
        <f t="shared" si="21"/>
        <v>5250</v>
      </c>
      <c r="AI96" s="106">
        <v>15</v>
      </c>
      <c r="AJ96" s="107" t="s">
        <v>160</v>
      </c>
      <c r="AK96" s="107">
        <v>350</v>
      </c>
      <c r="AL96" s="107">
        <f t="shared" ref="AL96:AL102" si="29">AK96*AI96</f>
        <v>5250</v>
      </c>
      <c r="AM96" s="99">
        <v>15</v>
      </c>
      <c r="AN96" s="100">
        <f t="shared" si="22"/>
        <v>5250</v>
      </c>
      <c r="AO96" s="108">
        <f t="shared" si="23"/>
        <v>60</v>
      </c>
      <c r="AP96" s="308">
        <f t="shared" si="24"/>
        <v>15750</v>
      </c>
      <c r="AQ96" s="3"/>
      <c r="AR96" s="3"/>
      <c r="AS96" s="3"/>
      <c r="AT96" s="3"/>
      <c r="AU96" s="3"/>
      <c r="AV96" s="3"/>
      <c r="AW96" s="3"/>
      <c r="AX96" s="3"/>
    </row>
    <row r="97" spans="1:50" ht="20.45" customHeight="1">
      <c r="A97" s="85" t="s">
        <v>161</v>
      </c>
      <c r="B97" s="86">
        <v>25</v>
      </c>
      <c r="C97" s="87" t="s">
        <v>162</v>
      </c>
      <c r="D97" s="88">
        <v>244775</v>
      </c>
      <c r="E97" s="88"/>
      <c r="F97" s="89" t="s">
        <v>163</v>
      </c>
      <c r="G97" s="109" t="s">
        <v>164</v>
      </c>
      <c r="H97" s="109" t="s">
        <v>110</v>
      </c>
      <c r="I97" s="91">
        <v>1</v>
      </c>
      <c r="J97" s="92" t="s">
        <v>83</v>
      </c>
      <c r="K97" s="93">
        <v>1000</v>
      </c>
      <c r="L97" s="93" t="s">
        <v>84</v>
      </c>
      <c r="M97" s="116">
        <f>23/10*12</f>
        <v>27.599999999999998</v>
      </c>
      <c r="N97" s="116">
        <f>17/9*12</f>
        <v>22.666666666666664</v>
      </c>
      <c r="O97" s="116">
        <v>14.666666666666666</v>
      </c>
      <c r="P97" s="94">
        <v>15</v>
      </c>
      <c r="Q97" s="95">
        <v>3</v>
      </c>
      <c r="R97" s="112">
        <v>18</v>
      </c>
      <c r="S97" s="110">
        <v>510</v>
      </c>
      <c r="T97" s="98">
        <f t="shared" si="18"/>
        <v>9180</v>
      </c>
      <c r="U97" s="111">
        <v>12</v>
      </c>
      <c r="V97" s="100">
        <f t="shared" si="19"/>
        <v>6120</v>
      </c>
      <c r="W97" s="130">
        <f>3.5+2.5+6</f>
        <v>12</v>
      </c>
      <c r="X97" s="102" t="s">
        <v>110</v>
      </c>
      <c r="Y97" s="103">
        <f>2*251.45</f>
        <v>502.9</v>
      </c>
      <c r="Z97" s="103">
        <f>Y97*W97</f>
        <v>6034.7999999999993</v>
      </c>
      <c r="AA97" s="99">
        <v>0</v>
      </c>
      <c r="AB97" s="100">
        <f t="shared" si="20"/>
        <v>0</v>
      </c>
      <c r="AC97" s="104"/>
      <c r="AD97" s="105"/>
      <c r="AE97" s="105"/>
      <c r="AF97" s="105"/>
      <c r="AG97" s="99">
        <v>6</v>
      </c>
      <c r="AH97" s="100">
        <f t="shared" si="21"/>
        <v>3060</v>
      </c>
      <c r="AI97" s="106">
        <v>6</v>
      </c>
      <c r="AJ97" s="107" t="s">
        <v>110</v>
      </c>
      <c r="AK97" s="107">
        <f>2*251.45</f>
        <v>502.9</v>
      </c>
      <c r="AL97" s="107">
        <f t="shared" si="29"/>
        <v>3017.3999999999996</v>
      </c>
      <c r="AM97" s="99">
        <v>0</v>
      </c>
      <c r="AN97" s="100">
        <f t="shared" si="22"/>
        <v>0</v>
      </c>
      <c r="AO97" s="108">
        <f t="shared" si="23"/>
        <v>18</v>
      </c>
      <c r="AP97" s="308">
        <f t="shared" si="24"/>
        <v>9052.1999999999989</v>
      </c>
    </row>
    <row r="98" spans="1:50" ht="20.45" customHeight="1">
      <c r="A98" s="85" t="s">
        <v>175</v>
      </c>
      <c r="B98" s="86">
        <v>28</v>
      </c>
      <c r="C98" s="87">
        <v>782228</v>
      </c>
      <c r="D98" s="88">
        <v>782200</v>
      </c>
      <c r="E98" s="88"/>
      <c r="F98" s="89" t="s">
        <v>176</v>
      </c>
      <c r="G98" s="109" t="s">
        <v>177</v>
      </c>
      <c r="H98" s="109"/>
      <c r="I98" s="91">
        <v>1</v>
      </c>
      <c r="J98" s="92" t="s">
        <v>51</v>
      </c>
      <c r="K98" s="93">
        <v>1</v>
      </c>
      <c r="L98" s="93" t="s">
        <v>178</v>
      </c>
      <c r="M98" s="116">
        <f>39*10/12</f>
        <v>32.5</v>
      </c>
      <c r="N98" s="116">
        <f>66/9*12</f>
        <v>88</v>
      </c>
      <c r="O98" s="116">
        <v>58.666666666666664</v>
      </c>
      <c r="P98" s="94">
        <v>77</v>
      </c>
      <c r="Q98" s="95">
        <v>17</v>
      </c>
      <c r="R98" s="96">
        <f>P98-Q98</f>
        <v>60</v>
      </c>
      <c r="S98" s="110">
        <v>90</v>
      </c>
      <c r="T98" s="98">
        <f t="shared" si="18"/>
        <v>5400</v>
      </c>
      <c r="U98" s="111">
        <v>60</v>
      </c>
      <c r="V98" s="100">
        <f t="shared" si="19"/>
        <v>5400</v>
      </c>
      <c r="W98" s="101">
        <v>60</v>
      </c>
      <c r="X98" s="102" t="s">
        <v>179</v>
      </c>
      <c r="Y98" s="103">
        <v>90</v>
      </c>
      <c r="Z98" s="103">
        <f>Y98*W98</f>
        <v>5400</v>
      </c>
      <c r="AA98" s="99">
        <v>0</v>
      </c>
      <c r="AB98" s="100">
        <f t="shared" si="20"/>
        <v>0</v>
      </c>
      <c r="AC98" s="104"/>
      <c r="AD98" s="105"/>
      <c r="AE98" s="105"/>
      <c r="AF98" s="105"/>
      <c r="AG98" s="99">
        <v>0</v>
      </c>
      <c r="AH98" s="100">
        <f t="shared" si="21"/>
        <v>0</v>
      </c>
      <c r="AI98" s="106"/>
      <c r="AJ98" s="107"/>
      <c r="AK98" s="107"/>
      <c r="AL98" s="107">
        <f t="shared" si="29"/>
        <v>0</v>
      </c>
      <c r="AM98" s="99">
        <v>0</v>
      </c>
      <c r="AN98" s="100">
        <f t="shared" si="22"/>
        <v>0</v>
      </c>
      <c r="AO98" s="108">
        <f t="shared" si="23"/>
        <v>60</v>
      </c>
      <c r="AP98" s="308">
        <f t="shared" si="24"/>
        <v>5400</v>
      </c>
    </row>
    <row r="99" spans="1:50" ht="20.45" customHeight="1">
      <c r="A99" s="85" t="s">
        <v>180</v>
      </c>
      <c r="B99" s="86">
        <v>29</v>
      </c>
      <c r="C99" s="87" t="s">
        <v>181</v>
      </c>
      <c r="D99" s="88">
        <v>226695</v>
      </c>
      <c r="E99" s="88"/>
      <c r="F99" s="89" t="s">
        <v>182</v>
      </c>
      <c r="G99" s="109" t="s">
        <v>183</v>
      </c>
      <c r="H99" s="109" t="s">
        <v>110</v>
      </c>
      <c r="I99" s="91">
        <v>1</v>
      </c>
      <c r="J99" s="92" t="s">
        <v>184</v>
      </c>
      <c r="K99" s="93">
        <v>1000</v>
      </c>
      <c r="L99" s="93" t="s">
        <v>185</v>
      </c>
      <c r="M99" s="116">
        <f>20/10*12</f>
        <v>24</v>
      </c>
      <c r="N99" s="116">
        <f>10*9/12</f>
        <v>7.5</v>
      </c>
      <c r="O99" s="116">
        <v>14.666666666666666</v>
      </c>
      <c r="P99" s="94">
        <v>16</v>
      </c>
      <c r="Q99" s="95">
        <v>3</v>
      </c>
      <c r="R99" s="96">
        <f>P99-Q99</f>
        <v>13</v>
      </c>
      <c r="S99" s="97">
        <v>970</v>
      </c>
      <c r="T99" s="98">
        <f t="shared" si="18"/>
        <v>12610</v>
      </c>
      <c r="U99" s="111">
        <v>0</v>
      </c>
      <c r="V99" s="100">
        <f t="shared" si="19"/>
        <v>0</v>
      </c>
      <c r="W99" s="101"/>
      <c r="X99" s="102"/>
      <c r="Y99" s="103"/>
      <c r="Z99" s="103"/>
      <c r="AA99" s="99">
        <v>0</v>
      </c>
      <c r="AB99" s="100">
        <f t="shared" si="20"/>
        <v>0</v>
      </c>
      <c r="AC99" s="104"/>
      <c r="AD99" s="105"/>
      <c r="AE99" s="105"/>
      <c r="AF99" s="105"/>
      <c r="AG99" s="99">
        <v>7</v>
      </c>
      <c r="AH99" s="100">
        <f t="shared" si="21"/>
        <v>6790</v>
      </c>
      <c r="AI99" s="106">
        <v>6</v>
      </c>
      <c r="AJ99" s="107" t="s">
        <v>186</v>
      </c>
      <c r="AK99" s="107">
        <v>850.65</v>
      </c>
      <c r="AL99" s="107">
        <f t="shared" si="29"/>
        <v>5103.8999999999996</v>
      </c>
      <c r="AM99" s="99">
        <v>6</v>
      </c>
      <c r="AN99" s="100">
        <f t="shared" si="22"/>
        <v>5820</v>
      </c>
      <c r="AO99" s="108">
        <f t="shared" si="23"/>
        <v>13</v>
      </c>
      <c r="AP99" s="308">
        <f t="shared" si="24"/>
        <v>5103.8999999999996</v>
      </c>
    </row>
    <row r="100" spans="1:50" ht="20.45" customHeight="1">
      <c r="A100" s="85" t="s">
        <v>187</v>
      </c>
      <c r="B100" s="86">
        <v>30</v>
      </c>
      <c r="C100" s="87" t="s">
        <v>188</v>
      </c>
      <c r="D100" s="88">
        <v>226483</v>
      </c>
      <c r="E100" s="88"/>
      <c r="F100" s="89" t="s">
        <v>189</v>
      </c>
      <c r="G100" s="109" t="s">
        <v>190</v>
      </c>
      <c r="H100" s="109" t="s">
        <v>110</v>
      </c>
      <c r="I100" s="91">
        <v>1</v>
      </c>
      <c r="J100" s="92" t="s">
        <v>184</v>
      </c>
      <c r="K100" s="93">
        <v>1000</v>
      </c>
      <c r="L100" s="93" t="s">
        <v>185</v>
      </c>
      <c r="M100" s="116">
        <f>72/10*12</f>
        <v>86.4</v>
      </c>
      <c r="N100" s="116">
        <f>57/9*12</f>
        <v>76</v>
      </c>
      <c r="O100" s="116">
        <v>85.333333333333329</v>
      </c>
      <c r="P100" s="94">
        <v>85</v>
      </c>
      <c r="Q100" s="95">
        <v>0</v>
      </c>
      <c r="R100" s="132">
        <v>65</v>
      </c>
      <c r="S100" s="131">
        <v>1500</v>
      </c>
      <c r="T100" s="98">
        <f t="shared" si="18"/>
        <v>97500</v>
      </c>
      <c r="U100" s="99">
        <v>0</v>
      </c>
      <c r="V100" s="100">
        <f t="shared" si="19"/>
        <v>0</v>
      </c>
      <c r="W100" s="101"/>
      <c r="X100" s="102"/>
      <c r="Y100" s="103"/>
      <c r="Z100" s="103"/>
      <c r="AA100" s="99">
        <v>25</v>
      </c>
      <c r="AB100" s="100">
        <f t="shared" si="20"/>
        <v>37500</v>
      </c>
      <c r="AC100" s="104">
        <v>25</v>
      </c>
      <c r="AD100" s="105" t="s">
        <v>61</v>
      </c>
      <c r="AE100" s="105">
        <f>2*588.5</f>
        <v>1177</v>
      </c>
      <c r="AF100" s="105">
        <f>AE100*AC100</f>
        <v>29425</v>
      </c>
      <c r="AG100" s="99">
        <v>20</v>
      </c>
      <c r="AH100" s="100">
        <f t="shared" si="21"/>
        <v>30000</v>
      </c>
      <c r="AI100" s="106"/>
      <c r="AJ100" s="107"/>
      <c r="AK100" s="107"/>
      <c r="AL100" s="107">
        <f t="shared" si="29"/>
        <v>0</v>
      </c>
      <c r="AM100" s="99">
        <v>20</v>
      </c>
      <c r="AN100" s="100">
        <f t="shared" si="22"/>
        <v>30000</v>
      </c>
      <c r="AO100" s="108">
        <f t="shared" si="23"/>
        <v>65</v>
      </c>
      <c r="AP100" s="308">
        <f t="shared" si="24"/>
        <v>29425</v>
      </c>
    </row>
    <row r="101" spans="1:50" ht="20.45" customHeight="1">
      <c r="A101" s="85" t="s">
        <v>191</v>
      </c>
      <c r="B101" s="86">
        <v>31</v>
      </c>
      <c r="C101" s="87" t="s">
        <v>192</v>
      </c>
      <c r="D101" s="88">
        <v>914289</v>
      </c>
      <c r="E101" s="88"/>
      <c r="F101" s="89" t="s">
        <v>193</v>
      </c>
      <c r="G101" s="109" t="s">
        <v>194</v>
      </c>
      <c r="H101" s="109"/>
      <c r="I101" s="91">
        <v>1</v>
      </c>
      <c r="J101" s="92" t="s">
        <v>195</v>
      </c>
      <c r="K101" s="93">
        <v>1</v>
      </c>
      <c r="L101" s="93" t="s">
        <v>196</v>
      </c>
      <c r="M101" s="116">
        <f>1872/10*12</f>
        <v>2246.3999999999996</v>
      </c>
      <c r="N101" s="116">
        <f>1878/9*12</f>
        <v>2504</v>
      </c>
      <c r="O101" s="116">
        <v>2353.3333333333335</v>
      </c>
      <c r="P101" s="94">
        <v>2300</v>
      </c>
      <c r="Q101" s="95">
        <v>300</v>
      </c>
      <c r="R101" s="112">
        <v>2500</v>
      </c>
      <c r="S101" s="97">
        <v>12.84</v>
      </c>
      <c r="T101" s="98">
        <f t="shared" si="18"/>
        <v>32100</v>
      </c>
      <c r="U101" s="99">
        <v>1000</v>
      </c>
      <c r="V101" s="100">
        <f t="shared" si="19"/>
        <v>12840</v>
      </c>
      <c r="W101" s="101">
        <f>2*500</f>
        <v>1000</v>
      </c>
      <c r="X101" s="102" t="s">
        <v>197</v>
      </c>
      <c r="Y101" s="103">
        <v>11.5</v>
      </c>
      <c r="Z101" s="103">
        <f>Y101*W101</f>
        <v>11500</v>
      </c>
      <c r="AA101" s="99">
        <v>500</v>
      </c>
      <c r="AB101" s="100">
        <f t="shared" si="20"/>
        <v>6420</v>
      </c>
      <c r="AC101" s="104">
        <v>500</v>
      </c>
      <c r="AD101" s="105" t="s">
        <v>197</v>
      </c>
      <c r="AE101" s="105">
        <v>11.5</v>
      </c>
      <c r="AF101" s="105">
        <f>AE101*AC101</f>
        <v>5750</v>
      </c>
      <c r="AG101" s="99">
        <v>500</v>
      </c>
      <c r="AH101" s="100">
        <f t="shared" si="21"/>
        <v>6420</v>
      </c>
      <c r="AI101" s="106">
        <v>500</v>
      </c>
      <c r="AJ101" s="107" t="s">
        <v>197</v>
      </c>
      <c r="AK101" s="107">
        <v>11.5</v>
      </c>
      <c r="AL101" s="107">
        <f t="shared" si="29"/>
        <v>5750</v>
      </c>
      <c r="AM101" s="99">
        <v>500</v>
      </c>
      <c r="AN101" s="100">
        <f t="shared" si="22"/>
        <v>6420</v>
      </c>
      <c r="AO101" s="108">
        <f t="shared" si="23"/>
        <v>2500</v>
      </c>
      <c r="AP101" s="308">
        <f t="shared" si="24"/>
        <v>23000</v>
      </c>
    </row>
    <row r="102" spans="1:50" ht="20.45" customHeight="1">
      <c r="A102" s="85" t="s">
        <v>198</v>
      </c>
      <c r="B102" s="86">
        <v>32</v>
      </c>
      <c r="C102" s="87" t="s">
        <v>199</v>
      </c>
      <c r="D102" s="88">
        <v>538415</v>
      </c>
      <c r="E102" s="88"/>
      <c r="F102" s="89" t="s">
        <v>200</v>
      </c>
      <c r="G102" s="113" t="s">
        <v>201</v>
      </c>
      <c r="H102" s="113"/>
      <c r="I102" s="114">
        <v>1</v>
      </c>
      <c r="J102" s="118" t="s">
        <v>88</v>
      </c>
      <c r="K102" s="115">
        <v>1</v>
      </c>
      <c r="L102" s="115" t="s">
        <v>202</v>
      </c>
      <c r="M102" s="116">
        <f>652/10*12</f>
        <v>782.40000000000009</v>
      </c>
      <c r="N102" s="116">
        <f>850/9*12</f>
        <v>1133.3333333333333</v>
      </c>
      <c r="O102" s="116">
        <v>906.66666666666663</v>
      </c>
      <c r="P102" s="94">
        <v>900</v>
      </c>
      <c r="Q102" s="95">
        <v>0</v>
      </c>
      <c r="R102" s="96">
        <f>P102-Q102</f>
        <v>900</v>
      </c>
      <c r="S102" s="131">
        <v>40</v>
      </c>
      <c r="T102" s="98">
        <f t="shared" si="18"/>
        <v>36000</v>
      </c>
      <c r="U102" s="99">
        <v>300</v>
      </c>
      <c r="V102" s="100">
        <f t="shared" si="19"/>
        <v>12000</v>
      </c>
      <c r="W102" s="101">
        <v>300</v>
      </c>
      <c r="X102" s="102" t="s">
        <v>203</v>
      </c>
      <c r="Y102" s="103">
        <v>30.5</v>
      </c>
      <c r="Z102" s="103">
        <f>Y102*W102</f>
        <v>9150</v>
      </c>
      <c r="AA102" s="111">
        <v>0</v>
      </c>
      <c r="AB102" s="100">
        <f t="shared" si="20"/>
        <v>0</v>
      </c>
      <c r="AC102" s="104"/>
      <c r="AD102" s="105"/>
      <c r="AE102" s="105"/>
      <c r="AF102" s="105"/>
      <c r="AG102" s="99">
        <v>300</v>
      </c>
      <c r="AH102" s="100">
        <f t="shared" si="21"/>
        <v>12000</v>
      </c>
      <c r="AI102" s="106">
        <v>200</v>
      </c>
      <c r="AJ102" s="107" t="s">
        <v>203</v>
      </c>
      <c r="AK102" s="107">
        <v>30.5</v>
      </c>
      <c r="AL102" s="107">
        <f t="shared" si="29"/>
        <v>6100</v>
      </c>
      <c r="AM102" s="99">
        <v>300</v>
      </c>
      <c r="AN102" s="100">
        <f t="shared" si="22"/>
        <v>12000</v>
      </c>
      <c r="AO102" s="108">
        <f t="shared" si="23"/>
        <v>900</v>
      </c>
      <c r="AP102" s="308">
        <f t="shared" si="24"/>
        <v>15250</v>
      </c>
    </row>
    <row r="103" spans="1:50" ht="20.45" customHeight="1">
      <c r="A103" s="85" t="s">
        <v>204</v>
      </c>
      <c r="B103" s="86">
        <v>33</v>
      </c>
      <c r="C103" s="87" t="s">
        <v>205</v>
      </c>
      <c r="D103" s="88">
        <v>539549</v>
      </c>
      <c r="E103" s="88"/>
      <c r="F103" s="89" t="s">
        <v>206</v>
      </c>
      <c r="G103" s="109" t="s">
        <v>207</v>
      </c>
      <c r="H103" s="109"/>
      <c r="I103" s="91">
        <v>1</v>
      </c>
      <c r="J103" s="92" t="s">
        <v>88</v>
      </c>
      <c r="K103" s="93">
        <v>1</v>
      </c>
      <c r="L103" s="93" t="s">
        <v>202</v>
      </c>
      <c r="M103" s="116">
        <f>200/10*12</f>
        <v>240</v>
      </c>
      <c r="N103" s="116">
        <f>350/9*12</f>
        <v>466.66666666666663</v>
      </c>
      <c r="O103" s="116">
        <v>0</v>
      </c>
      <c r="P103" s="94">
        <v>100</v>
      </c>
      <c r="Q103" s="95">
        <v>0</v>
      </c>
      <c r="R103" s="96">
        <f>P103-Q103</f>
        <v>100</v>
      </c>
      <c r="S103" s="97">
        <v>18</v>
      </c>
      <c r="T103" s="98">
        <f t="shared" si="18"/>
        <v>1800</v>
      </c>
      <c r="U103" s="99">
        <v>100</v>
      </c>
      <c r="V103" s="100">
        <f t="shared" si="19"/>
        <v>1800</v>
      </c>
      <c r="W103" s="101"/>
      <c r="X103" s="102"/>
      <c r="Y103" s="103"/>
      <c r="Z103" s="103"/>
      <c r="AA103" s="99">
        <v>0</v>
      </c>
      <c r="AB103" s="100">
        <f t="shared" si="20"/>
        <v>0</v>
      </c>
      <c r="AC103" s="104"/>
      <c r="AD103" s="105"/>
      <c r="AE103" s="105"/>
      <c r="AF103" s="105"/>
      <c r="AG103" s="99">
        <v>0</v>
      </c>
      <c r="AH103" s="100">
        <f t="shared" si="21"/>
        <v>0</v>
      </c>
      <c r="AI103" s="106"/>
      <c r="AJ103" s="107"/>
      <c r="AK103" s="107"/>
      <c r="AL103" s="107"/>
      <c r="AM103" s="99">
        <v>0</v>
      </c>
      <c r="AN103" s="100">
        <f t="shared" si="22"/>
        <v>0</v>
      </c>
      <c r="AO103" s="108">
        <f t="shared" si="23"/>
        <v>100</v>
      </c>
      <c r="AP103" s="308">
        <f t="shared" si="24"/>
        <v>0</v>
      </c>
    </row>
    <row r="104" spans="1:50" ht="20.45" customHeight="1">
      <c r="A104" s="85" t="s">
        <v>208</v>
      </c>
      <c r="B104" s="86">
        <v>34</v>
      </c>
      <c r="C104" s="87" t="s">
        <v>209</v>
      </c>
      <c r="D104" s="88">
        <v>539680</v>
      </c>
      <c r="E104" s="88"/>
      <c r="F104" s="89" t="s">
        <v>210</v>
      </c>
      <c r="G104" s="109" t="s">
        <v>211</v>
      </c>
      <c r="H104" s="109"/>
      <c r="I104" s="91">
        <v>1</v>
      </c>
      <c r="J104" s="92" t="s">
        <v>88</v>
      </c>
      <c r="K104" s="93">
        <v>1</v>
      </c>
      <c r="L104" s="93" t="s">
        <v>202</v>
      </c>
      <c r="M104" s="116">
        <f>348/10*12</f>
        <v>417.59999999999997</v>
      </c>
      <c r="N104" s="116">
        <f>250/9*12</f>
        <v>333.33333333333337</v>
      </c>
      <c r="O104" s="116">
        <v>293.33333333333331</v>
      </c>
      <c r="P104" s="94">
        <v>220</v>
      </c>
      <c r="Q104" s="95">
        <v>20</v>
      </c>
      <c r="R104" s="96">
        <f>P104-Q104</f>
        <v>200</v>
      </c>
      <c r="S104" s="97">
        <v>11.5</v>
      </c>
      <c r="T104" s="98">
        <f t="shared" si="18"/>
        <v>2300</v>
      </c>
      <c r="U104" s="99">
        <v>100</v>
      </c>
      <c r="V104" s="100">
        <f t="shared" si="19"/>
        <v>1150</v>
      </c>
      <c r="W104" s="101">
        <v>100</v>
      </c>
      <c r="X104" s="102" t="s">
        <v>212</v>
      </c>
      <c r="Y104" s="103">
        <v>11.5</v>
      </c>
      <c r="Z104" s="103">
        <f>Y104*W104</f>
        <v>1150</v>
      </c>
      <c r="AA104" s="99">
        <v>0</v>
      </c>
      <c r="AB104" s="100">
        <f t="shared" si="20"/>
        <v>0</v>
      </c>
      <c r="AC104" s="104"/>
      <c r="AD104" s="105"/>
      <c r="AE104" s="105"/>
      <c r="AF104" s="105"/>
      <c r="AG104" s="99">
        <v>100</v>
      </c>
      <c r="AH104" s="100">
        <f t="shared" si="21"/>
        <v>1150</v>
      </c>
      <c r="AI104" s="106"/>
      <c r="AJ104" s="107"/>
      <c r="AK104" s="107"/>
      <c r="AL104" s="107"/>
      <c r="AM104" s="99">
        <v>0</v>
      </c>
      <c r="AN104" s="100">
        <f t="shared" si="22"/>
        <v>0</v>
      </c>
      <c r="AO104" s="108">
        <f t="shared" si="23"/>
        <v>200</v>
      </c>
      <c r="AP104" s="308">
        <f t="shared" si="24"/>
        <v>1150</v>
      </c>
    </row>
    <row r="105" spans="1:50" ht="20.45" customHeight="1">
      <c r="A105" s="85" t="s">
        <v>213</v>
      </c>
      <c r="B105" s="86">
        <v>35</v>
      </c>
      <c r="C105" s="87" t="s">
        <v>214</v>
      </c>
      <c r="D105" s="88">
        <v>840347</v>
      </c>
      <c r="E105" s="88"/>
      <c r="F105" s="89" t="s">
        <v>210</v>
      </c>
      <c r="G105" s="109" t="s">
        <v>215</v>
      </c>
      <c r="H105" s="109"/>
      <c r="I105" s="91">
        <v>1</v>
      </c>
      <c r="J105" s="92" t="s">
        <v>88</v>
      </c>
      <c r="K105" s="93">
        <v>1</v>
      </c>
      <c r="L105" s="93" t="s">
        <v>202</v>
      </c>
      <c r="M105" s="116">
        <f>398/10*12</f>
        <v>477.59999999999997</v>
      </c>
      <c r="N105" s="116">
        <f>200*12/9</f>
        <v>266.66666666666669</v>
      </c>
      <c r="O105" s="116">
        <v>333.33333333333331</v>
      </c>
      <c r="P105" s="94">
        <v>300</v>
      </c>
      <c r="Q105" s="95">
        <v>0</v>
      </c>
      <c r="R105" s="132">
        <v>200</v>
      </c>
      <c r="S105" s="97">
        <v>14.5</v>
      </c>
      <c r="T105" s="98">
        <f t="shared" si="18"/>
        <v>2900</v>
      </c>
      <c r="U105" s="99">
        <v>100</v>
      </c>
      <c r="V105" s="100">
        <f t="shared" si="19"/>
        <v>1450</v>
      </c>
      <c r="W105" s="101">
        <v>100</v>
      </c>
      <c r="X105" s="102" t="s">
        <v>212</v>
      </c>
      <c r="Y105" s="103">
        <v>12.5</v>
      </c>
      <c r="Z105" s="103">
        <f>Y105*W105</f>
        <v>1250</v>
      </c>
      <c r="AA105" s="99">
        <v>0</v>
      </c>
      <c r="AB105" s="100">
        <f t="shared" si="20"/>
        <v>0</v>
      </c>
      <c r="AC105" s="104"/>
      <c r="AD105" s="105"/>
      <c r="AE105" s="105"/>
      <c r="AF105" s="105"/>
      <c r="AG105" s="99">
        <v>100</v>
      </c>
      <c r="AH105" s="100">
        <f t="shared" si="21"/>
        <v>1450</v>
      </c>
      <c r="AI105" s="106"/>
      <c r="AJ105" s="107"/>
      <c r="AK105" s="107"/>
      <c r="AL105" s="107"/>
      <c r="AM105" s="99">
        <v>0</v>
      </c>
      <c r="AN105" s="100">
        <f t="shared" si="22"/>
        <v>0</v>
      </c>
      <c r="AO105" s="108">
        <f t="shared" si="23"/>
        <v>200</v>
      </c>
      <c r="AP105" s="308">
        <f t="shared" si="24"/>
        <v>1250</v>
      </c>
    </row>
    <row r="106" spans="1:50" ht="20.45" customHeight="1">
      <c r="A106" s="85" t="s">
        <v>233</v>
      </c>
      <c r="B106" s="86">
        <v>40</v>
      </c>
      <c r="C106" s="87" t="s">
        <v>234</v>
      </c>
      <c r="D106" s="88">
        <v>802062</v>
      </c>
      <c r="E106" s="88"/>
      <c r="F106" s="89" t="s">
        <v>235</v>
      </c>
      <c r="G106" s="109" t="s">
        <v>236</v>
      </c>
      <c r="H106" s="109" t="s">
        <v>110</v>
      </c>
      <c r="I106" s="91">
        <v>1</v>
      </c>
      <c r="J106" s="92" t="s">
        <v>88</v>
      </c>
      <c r="K106" s="93">
        <v>1</v>
      </c>
      <c r="L106" s="93" t="s">
        <v>73</v>
      </c>
      <c r="M106" s="116">
        <f>80/10*12</f>
        <v>96</v>
      </c>
      <c r="N106" s="116">
        <f>70*12/9</f>
        <v>93.333333333333329</v>
      </c>
      <c r="O106" s="116">
        <v>40</v>
      </c>
      <c r="P106" s="94">
        <v>50</v>
      </c>
      <c r="Q106" s="95">
        <v>0</v>
      </c>
      <c r="R106" s="96">
        <f>P106-Q106</f>
        <v>50</v>
      </c>
      <c r="S106" s="97">
        <v>6.51</v>
      </c>
      <c r="T106" s="98">
        <f t="shared" si="18"/>
        <v>325.5</v>
      </c>
      <c r="U106" s="99">
        <v>0</v>
      </c>
      <c r="V106" s="100">
        <f t="shared" si="19"/>
        <v>0</v>
      </c>
      <c r="W106" s="101"/>
      <c r="X106" s="102"/>
      <c r="Y106" s="103"/>
      <c r="Z106" s="103"/>
      <c r="AA106" s="99">
        <v>50</v>
      </c>
      <c r="AB106" s="100">
        <f t="shared" si="20"/>
        <v>325.5</v>
      </c>
      <c r="AC106" s="104">
        <v>50</v>
      </c>
      <c r="AD106" s="105" t="s">
        <v>110</v>
      </c>
      <c r="AE106" s="105">
        <f>267.5/50</f>
        <v>5.35</v>
      </c>
      <c r="AF106" s="105">
        <f t="shared" ref="AF106:AF112" si="30">AE106*AC106</f>
        <v>267.5</v>
      </c>
      <c r="AG106" s="99">
        <v>0</v>
      </c>
      <c r="AH106" s="100">
        <f t="shared" si="21"/>
        <v>0</v>
      </c>
      <c r="AI106" s="106"/>
      <c r="AJ106" s="107"/>
      <c r="AK106" s="107"/>
      <c r="AL106" s="107">
        <f t="shared" ref="AL106:AL124" si="31">AK106*AI106</f>
        <v>0</v>
      </c>
      <c r="AM106" s="99">
        <v>0</v>
      </c>
      <c r="AN106" s="100">
        <f t="shared" si="22"/>
        <v>0</v>
      </c>
      <c r="AO106" s="108">
        <f t="shared" si="23"/>
        <v>50</v>
      </c>
      <c r="AP106" s="308">
        <f t="shared" si="24"/>
        <v>267.5</v>
      </c>
      <c r="AT106" s="121"/>
      <c r="AU106" s="121"/>
      <c r="AV106" s="121"/>
      <c r="AW106" s="121"/>
      <c r="AX106" s="121"/>
    </row>
    <row r="107" spans="1:50" ht="20.45" customHeight="1">
      <c r="A107" s="85" t="s">
        <v>237</v>
      </c>
      <c r="B107" s="86">
        <v>41</v>
      </c>
      <c r="C107" s="87">
        <v>327346</v>
      </c>
      <c r="D107" s="88">
        <v>229206</v>
      </c>
      <c r="E107" s="88"/>
      <c r="F107" s="117" t="s">
        <v>238</v>
      </c>
      <c r="G107" s="109" t="s">
        <v>239</v>
      </c>
      <c r="H107" s="109"/>
      <c r="I107" s="91">
        <v>1</v>
      </c>
      <c r="J107" s="92" t="s">
        <v>83</v>
      </c>
      <c r="K107" s="93">
        <v>1000</v>
      </c>
      <c r="L107" s="93" t="s">
        <v>84</v>
      </c>
      <c r="M107" s="116">
        <f>30.4/10*12</f>
        <v>36.480000000000004</v>
      </c>
      <c r="N107" s="116">
        <f>31.2/9*12</f>
        <v>41.6</v>
      </c>
      <c r="O107" s="116">
        <v>52</v>
      </c>
      <c r="P107" s="94">
        <v>52</v>
      </c>
      <c r="Q107" s="95">
        <v>0</v>
      </c>
      <c r="R107" s="132">
        <v>44</v>
      </c>
      <c r="S107" s="125">
        <v>3317</v>
      </c>
      <c r="T107" s="98">
        <f t="shared" si="18"/>
        <v>145948</v>
      </c>
      <c r="U107" s="99">
        <v>0</v>
      </c>
      <c r="V107" s="100">
        <f t="shared" si="19"/>
        <v>0</v>
      </c>
      <c r="W107" s="101"/>
      <c r="X107" s="102"/>
      <c r="Y107" s="103"/>
      <c r="Z107" s="103"/>
      <c r="AA107" s="99">
        <v>20</v>
      </c>
      <c r="AB107" s="100">
        <f t="shared" si="20"/>
        <v>66340</v>
      </c>
      <c r="AC107" s="104">
        <v>20</v>
      </c>
      <c r="AD107" s="105" t="s">
        <v>240</v>
      </c>
      <c r="AE107" s="134">
        <v>3317</v>
      </c>
      <c r="AF107" s="105">
        <f t="shared" si="30"/>
        <v>66340</v>
      </c>
      <c r="AG107" s="99">
        <v>12</v>
      </c>
      <c r="AH107" s="100">
        <f t="shared" si="21"/>
        <v>39804</v>
      </c>
      <c r="AI107" s="106"/>
      <c r="AJ107" s="107"/>
      <c r="AK107" s="107"/>
      <c r="AL107" s="107">
        <f t="shared" si="31"/>
        <v>0</v>
      </c>
      <c r="AM107" s="99">
        <v>12</v>
      </c>
      <c r="AN107" s="100">
        <f t="shared" si="22"/>
        <v>39804</v>
      </c>
      <c r="AO107" s="108">
        <f t="shared" si="23"/>
        <v>44</v>
      </c>
      <c r="AP107" s="308">
        <f t="shared" si="24"/>
        <v>66340</v>
      </c>
    </row>
    <row r="108" spans="1:50" s="151" customFormat="1" ht="20.45" customHeight="1">
      <c r="A108" s="85" t="s">
        <v>241</v>
      </c>
      <c r="B108" s="86">
        <v>42</v>
      </c>
      <c r="C108" s="87" t="s">
        <v>242</v>
      </c>
      <c r="D108" s="88">
        <v>661219</v>
      </c>
      <c r="E108" s="88"/>
      <c r="F108" s="89" t="s">
        <v>243</v>
      </c>
      <c r="G108" s="109" t="s">
        <v>244</v>
      </c>
      <c r="H108" s="109"/>
      <c r="I108" s="91">
        <v>1</v>
      </c>
      <c r="J108" s="92" t="s">
        <v>88</v>
      </c>
      <c r="K108" s="93">
        <v>1</v>
      </c>
      <c r="L108" s="93" t="s">
        <v>202</v>
      </c>
      <c r="M108" s="116">
        <f>60/10*12</f>
        <v>72</v>
      </c>
      <c r="N108" s="116">
        <f>60/9*12</f>
        <v>80</v>
      </c>
      <c r="O108" s="116">
        <v>106.66666666666667</v>
      </c>
      <c r="P108" s="94">
        <v>120</v>
      </c>
      <c r="Q108" s="95">
        <v>0</v>
      </c>
      <c r="R108" s="96">
        <v>140</v>
      </c>
      <c r="S108" s="97">
        <v>60</v>
      </c>
      <c r="T108" s="98">
        <f t="shared" si="18"/>
        <v>8400</v>
      </c>
      <c r="U108" s="111">
        <v>20</v>
      </c>
      <c r="V108" s="100">
        <f t="shared" si="19"/>
        <v>1200</v>
      </c>
      <c r="W108" s="101">
        <v>20</v>
      </c>
      <c r="X108" s="102" t="s">
        <v>110</v>
      </c>
      <c r="Y108" s="103">
        <v>60</v>
      </c>
      <c r="Z108" s="103">
        <f>Y108*W108</f>
        <v>1200</v>
      </c>
      <c r="AA108" s="99">
        <v>40</v>
      </c>
      <c r="AB108" s="100">
        <f t="shared" si="20"/>
        <v>2400</v>
      </c>
      <c r="AC108" s="104">
        <v>40</v>
      </c>
      <c r="AD108" s="105" t="s">
        <v>110</v>
      </c>
      <c r="AE108" s="105">
        <v>60</v>
      </c>
      <c r="AF108" s="105">
        <f t="shared" si="30"/>
        <v>2400</v>
      </c>
      <c r="AG108" s="99">
        <v>40</v>
      </c>
      <c r="AH108" s="100">
        <f t="shared" si="21"/>
        <v>2400</v>
      </c>
      <c r="AI108" s="106">
        <v>40</v>
      </c>
      <c r="AJ108" s="107" t="s">
        <v>110</v>
      </c>
      <c r="AK108" s="107">
        <v>60</v>
      </c>
      <c r="AL108" s="107">
        <f t="shared" si="31"/>
        <v>2400</v>
      </c>
      <c r="AM108" s="99">
        <v>40</v>
      </c>
      <c r="AN108" s="100">
        <f t="shared" si="22"/>
        <v>2400</v>
      </c>
      <c r="AO108" s="108">
        <f t="shared" si="23"/>
        <v>140</v>
      </c>
      <c r="AP108" s="308">
        <f t="shared" si="24"/>
        <v>6000</v>
      </c>
      <c r="AQ108" s="3"/>
      <c r="AR108" s="3"/>
      <c r="AS108" s="3"/>
      <c r="AT108" s="3"/>
      <c r="AU108" s="3"/>
      <c r="AV108" s="3"/>
      <c r="AW108" s="3"/>
      <c r="AX108" s="3"/>
    </row>
    <row r="109" spans="1:50" s="151" customFormat="1" ht="20.45" customHeight="1">
      <c r="A109" s="85" t="s">
        <v>245</v>
      </c>
      <c r="B109" s="86">
        <v>43</v>
      </c>
      <c r="C109" s="87" t="s">
        <v>246</v>
      </c>
      <c r="D109" s="88">
        <v>716173</v>
      </c>
      <c r="E109" s="88"/>
      <c r="F109" s="89" t="s">
        <v>247</v>
      </c>
      <c r="G109" s="109" t="s">
        <v>248</v>
      </c>
      <c r="H109" s="109" t="s">
        <v>110</v>
      </c>
      <c r="I109" s="91">
        <v>1</v>
      </c>
      <c r="J109" s="92" t="s">
        <v>83</v>
      </c>
      <c r="K109" s="93">
        <v>1000</v>
      </c>
      <c r="L109" s="93" t="s">
        <v>84</v>
      </c>
      <c r="M109" s="116">
        <f>132/10*12</f>
        <v>158.39999999999998</v>
      </c>
      <c r="N109" s="116">
        <f>112/9*12</f>
        <v>149.33333333333334</v>
      </c>
      <c r="O109" s="116">
        <v>150.66666666666666</v>
      </c>
      <c r="P109" s="94">
        <v>157</v>
      </c>
      <c r="Q109" s="95">
        <v>27</v>
      </c>
      <c r="R109" s="132">
        <v>100</v>
      </c>
      <c r="S109" s="97">
        <v>210</v>
      </c>
      <c r="T109" s="98">
        <f t="shared" si="18"/>
        <v>21000</v>
      </c>
      <c r="U109" s="111">
        <v>0</v>
      </c>
      <c r="V109" s="100">
        <f t="shared" si="19"/>
        <v>0</v>
      </c>
      <c r="W109" s="101"/>
      <c r="X109" s="102"/>
      <c r="Y109" s="103"/>
      <c r="Z109" s="103"/>
      <c r="AA109" s="99">
        <v>40</v>
      </c>
      <c r="AB109" s="100">
        <f t="shared" si="20"/>
        <v>8400</v>
      </c>
      <c r="AC109" s="104">
        <v>40</v>
      </c>
      <c r="AD109" s="105" t="s">
        <v>110</v>
      </c>
      <c r="AE109" s="105">
        <f>2*105</f>
        <v>210</v>
      </c>
      <c r="AF109" s="105">
        <f t="shared" si="30"/>
        <v>8400</v>
      </c>
      <c r="AG109" s="99">
        <v>30</v>
      </c>
      <c r="AH109" s="100">
        <f t="shared" si="21"/>
        <v>6300</v>
      </c>
      <c r="AI109" s="106">
        <v>40</v>
      </c>
      <c r="AJ109" s="107" t="s">
        <v>249</v>
      </c>
      <c r="AK109" s="107">
        <v>200</v>
      </c>
      <c r="AL109" s="107">
        <f t="shared" si="31"/>
        <v>8000</v>
      </c>
      <c r="AM109" s="99">
        <v>30</v>
      </c>
      <c r="AN109" s="100">
        <f t="shared" si="22"/>
        <v>6300</v>
      </c>
      <c r="AO109" s="108">
        <f t="shared" si="23"/>
        <v>100</v>
      </c>
      <c r="AP109" s="308">
        <f t="shared" si="24"/>
        <v>16400</v>
      </c>
      <c r="AQ109" s="3">
        <v>8384.7999999999993</v>
      </c>
      <c r="AR109" s="3"/>
      <c r="AS109" s="3"/>
      <c r="AT109" s="3"/>
      <c r="AU109" s="3"/>
      <c r="AV109" s="3"/>
      <c r="AW109" s="3"/>
      <c r="AX109" s="3"/>
    </row>
    <row r="110" spans="1:50" ht="20.45" customHeight="1">
      <c r="A110" s="85" t="s">
        <v>250</v>
      </c>
      <c r="B110" s="86">
        <v>44</v>
      </c>
      <c r="C110" s="87" t="s">
        <v>251</v>
      </c>
      <c r="D110" s="88">
        <v>716224</v>
      </c>
      <c r="E110" s="88"/>
      <c r="F110" s="89" t="s">
        <v>252</v>
      </c>
      <c r="G110" s="109" t="s">
        <v>253</v>
      </c>
      <c r="H110" s="109" t="s">
        <v>110</v>
      </c>
      <c r="I110" s="91">
        <v>1</v>
      </c>
      <c r="J110" s="92" t="s">
        <v>83</v>
      </c>
      <c r="K110" s="93">
        <v>1000</v>
      </c>
      <c r="L110" s="93" t="s">
        <v>84</v>
      </c>
      <c r="M110" s="116">
        <f>40/10*12</f>
        <v>48</v>
      </c>
      <c r="N110" s="116">
        <f>30/9*12</f>
        <v>40</v>
      </c>
      <c r="O110" s="116">
        <v>48</v>
      </c>
      <c r="P110" s="94">
        <v>48</v>
      </c>
      <c r="Q110" s="95">
        <v>2</v>
      </c>
      <c r="R110" s="112">
        <v>47</v>
      </c>
      <c r="S110" s="97">
        <v>340</v>
      </c>
      <c r="T110" s="98">
        <f t="shared" si="18"/>
        <v>15980</v>
      </c>
      <c r="U110" s="99">
        <v>13</v>
      </c>
      <c r="V110" s="100">
        <f t="shared" si="19"/>
        <v>4420</v>
      </c>
      <c r="W110" s="101">
        <v>13</v>
      </c>
      <c r="X110" s="102" t="s">
        <v>254</v>
      </c>
      <c r="Y110" s="103">
        <v>340</v>
      </c>
      <c r="Z110" s="103">
        <f>Y110*W110</f>
        <v>4420</v>
      </c>
      <c r="AA110" s="99">
        <v>10</v>
      </c>
      <c r="AB110" s="100">
        <f t="shared" si="20"/>
        <v>3400</v>
      </c>
      <c r="AC110" s="104">
        <v>10</v>
      </c>
      <c r="AD110" s="105" t="s">
        <v>254</v>
      </c>
      <c r="AE110" s="105">
        <v>340</v>
      </c>
      <c r="AF110" s="105">
        <f t="shared" si="30"/>
        <v>3400</v>
      </c>
      <c r="AG110" s="99">
        <v>12</v>
      </c>
      <c r="AH110" s="100">
        <f t="shared" si="21"/>
        <v>4080</v>
      </c>
      <c r="AI110" s="106">
        <v>12</v>
      </c>
      <c r="AJ110" s="107" t="s">
        <v>249</v>
      </c>
      <c r="AK110" s="107">
        <v>340</v>
      </c>
      <c r="AL110" s="107">
        <f t="shared" si="31"/>
        <v>4080</v>
      </c>
      <c r="AM110" s="99">
        <v>12</v>
      </c>
      <c r="AN110" s="100">
        <f t="shared" si="22"/>
        <v>4080</v>
      </c>
      <c r="AO110" s="108">
        <f t="shared" si="23"/>
        <v>47</v>
      </c>
      <c r="AP110" s="308">
        <f t="shared" si="24"/>
        <v>11900</v>
      </c>
    </row>
    <row r="111" spans="1:50" ht="20.45" customHeight="1">
      <c r="A111" s="85" t="s">
        <v>255</v>
      </c>
      <c r="B111" s="86">
        <v>45</v>
      </c>
      <c r="C111" s="87">
        <v>782770</v>
      </c>
      <c r="D111" s="88">
        <v>770185</v>
      </c>
      <c r="E111" s="88"/>
      <c r="F111" s="117" t="s">
        <v>256</v>
      </c>
      <c r="G111" s="109" t="s">
        <v>257</v>
      </c>
      <c r="H111" s="109"/>
      <c r="I111" s="91">
        <v>1</v>
      </c>
      <c r="J111" s="92" t="s">
        <v>115</v>
      </c>
      <c r="K111" s="93">
        <v>1</v>
      </c>
      <c r="L111" s="93" t="s">
        <v>196</v>
      </c>
      <c r="M111" s="116">
        <v>180</v>
      </c>
      <c r="N111" s="116">
        <f>82/9*12</f>
        <v>109.33333333333333</v>
      </c>
      <c r="O111" s="116">
        <v>92</v>
      </c>
      <c r="P111" s="94">
        <v>120</v>
      </c>
      <c r="Q111" s="95">
        <v>120</v>
      </c>
      <c r="R111" s="96">
        <f>P111-Q111</f>
        <v>0</v>
      </c>
      <c r="S111" s="97">
        <v>21.4</v>
      </c>
      <c r="T111" s="98">
        <f t="shared" si="18"/>
        <v>0</v>
      </c>
      <c r="U111" s="99">
        <v>0</v>
      </c>
      <c r="V111" s="100">
        <f t="shared" si="19"/>
        <v>0</v>
      </c>
      <c r="W111" s="101"/>
      <c r="X111" s="102"/>
      <c r="Y111" s="103"/>
      <c r="Z111" s="103">
        <f>Y111*W111</f>
        <v>0</v>
      </c>
      <c r="AA111" s="99">
        <v>0</v>
      </c>
      <c r="AB111" s="100">
        <f t="shared" si="20"/>
        <v>0</v>
      </c>
      <c r="AC111" s="104"/>
      <c r="AD111" s="105"/>
      <c r="AE111" s="105"/>
      <c r="AF111" s="105">
        <f t="shared" si="30"/>
        <v>0</v>
      </c>
      <c r="AG111" s="99">
        <v>0</v>
      </c>
      <c r="AH111" s="100">
        <f t="shared" si="21"/>
        <v>0</v>
      </c>
      <c r="AI111" s="106"/>
      <c r="AJ111" s="107"/>
      <c r="AK111" s="107"/>
      <c r="AL111" s="107">
        <f t="shared" si="31"/>
        <v>0</v>
      </c>
      <c r="AM111" s="99">
        <v>0</v>
      </c>
      <c r="AN111" s="100">
        <f t="shared" si="22"/>
        <v>0</v>
      </c>
      <c r="AO111" s="108">
        <f t="shared" si="23"/>
        <v>0</v>
      </c>
      <c r="AP111" s="308">
        <f t="shared" si="24"/>
        <v>0</v>
      </c>
    </row>
    <row r="112" spans="1:50" ht="20.45" customHeight="1">
      <c r="A112" s="85" t="s">
        <v>258</v>
      </c>
      <c r="B112" s="86">
        <v>46</v>
      </c>
      <c r="C112" s="87">
        <v>373832</v>
      </c>
      <c r="D112" s="88">
        <v>259406</v>
      </c>
      <c r="E112" s="88"/>
      <c r="F112" s="117" t="s">
        <v>259</v>
      </c>
      <c r="G112" s="109" t="s">
        <v>260</v>
      </c>
      <c r="H112" s="109"/>
      <c r="I112" s="91">
        <v>1</v>
      </c>
      <c r="J112" s="92" t="s">
        <v>83</v>
      </c>
      <c r="K112" s="93">
        <v>1000</v>
      </c>
      <c r="L112" s="93" t="s">
        <v>84</v>
      </c>
      <c r="M112" s="135">
        <f>24.5/10*12</f>
        <v>29.400000000000002</v>
      </c>
      <c r="N112" s="135">
        <f>33.5/9*12</f>
        <v>44.666666666666671</v>
      </c>
      <c r="O112" s="135">
        <v>54.666666666666664</v>
      </c>
      <c r="P112" s="94">
        <v>54</v>
      </c>
      <c r="Q112" s="95">
        <v>4</v>
      </c>
      <c r="R112" s="96">
        <f>P112-Q112</f>
        <v>50</v>
      </c>
      <c r="S112" s="131">
        <v>400</v>
      </c>
      <c r="T112" s="98">
        <f t="shared" si="18"/>
        <v>20000</v>
      </c>
      <c r="U112" s="99">
        <v>15</v>
      </c>
      <c r="V112" s="100">
        <f t="shared" si="19"/>
        <v>6000</v>
      </c>
      <c r="W112" s="101">
        <v>15</v>
      </c>
      <c r="X112" s="102" t="s">
        <v>261</v>
      </c>
      <c r="Y112" s="103">
        <v>260</v>
      </c>
      <c r="Z112" s="103">
        <f>Y112*W112</f>
        <v>3900</v>
      </c>
      <c r="AA112" s="99">
        <v>15</v>
      </c>
      <c r="AB112" s="100">
        <f t="shared" si="20"/>
        <v>6000</v>
      </c>
      <c r="AC112" s="104">
        <v>15</v>
      </c>
      <c r="AD112" s="105" t="s">
        <v>261</v>
      </c>
      <c r="AE112" s="105">
        <v>260</v>
      </c>
      <c r="AF112" s="105">
        <f t="shared" si="30"/>
        <v>3900</v>
      </c>
      <c r="AG112" s="99">
        <v>10</v>
      </c>
      <c r="AH112" s="100">
        <f t="shared" si="21"/>
        <v>4000</v>
      </c>
      <c r="AI112" s="106"/>
      <c r="AJ112" s="107"/>
      <c r="AK112" s="107"/>
      <c r="AL112" s="107">
        <f t="shared" si="31"/>
        <v>0</v>
      </c>
      <c r="AM112" s="99">
        <v>10</v>
      </c>
      <c r="AN112" s="100">
        <f t="shared" si="22"/>
        <v>4000</v>
      </c>
      <c r="AO112" s="108">
        <f t="shared" si="23"/>
        <v>50</v>
      </c>
      <c r="AP112" s="308">
        <f t="shared" si="24"/>
        <v>7800</v>
      </c>
      <c r="AT112" s="126"/>
      <c r="AU112" s="126"/>
      <c r="AV112" s="126"/>
      <c r="AW112" s="126"/>
      <c r="AX112" s="126"/>
    </row>
    <row r="113" spans="1:50" ht="20.45" customHeight="1">
      <c r="A113" s="85" t="s">
        <v>262</v>
      </c>
      <c r="B113" s="86">
        <v>47</v>
      </c>
      <c r="C113" s="87" t="s">
        <v>263</v>
      </c>
      <c r="D113" s="88">
        <v>671736</v>
      </c>
      <c r="E113" s="88"/>
      <c r="F113" s="89" t="s">
        <v>264</v>
      </c>
      <c r="G113" s="109" t="s">
        <v>265</v>
      </c>
      <c r="H113" s="109" t="s">
        <v>110</v>
      </c>
      <c r="I113" s="91">
        <v>1</v>
      </c>
      <c r="J113" s="92" t="s">
        <v>266</v>
      </c>
      <c r="K113" s="93">
        <v>1</v>
      </c>
      <c r="L113" s="93" t="s">
        <v>267</v>
      </c>
      <c r="M113" s="116">
        <f>2614/10*12</f>
        <v>3136.7999999999997</v>
      </c>
      <c r="N113" s="116">
        <f>2731/9*12</f>
        <v>3641.3333333333335</v>
      </c>
      <c r="O113" s="116">
        <v>3942.6666666666665</v>
      </c>
      <c r="P113" s="94">
        <v>4000</v>
      </c>
      <c r="Q113" s="95">
        <v>200</v>
      </c>
      <c r="R113" s="132">
        <v>2900</v>
      </c>
      <c r="S113" s="97">
        <v>8.56</v>
      </c>
      <c r="T113" s="98">
        <f t="shared" si="18"/>
        <v>24824</v>
      </c>
      <c r="U113" s="111">
        <v>0</v>
      </c>
      <c r="V113" s="100">
        <f t="shared" si="19"/>
        <v>0</v>
      </c>
      <c r="W113" s="101"/>
      <c r="X113" s="102"/>
      <c r="Y113" s="103"/>
      <c r="Z113" s="103">
        <f>Y113*W113</f>
        <v>0</v>
      </c>
      <c r="AA113" s="99">
        <v>900</v>
      </c>
      <c r="AB113" s="100">
        <f t="shared" si="20"/>
        <v>7704</v>
      </c>
      <c r="AC113" s="104"/>
      <c r="AD113" s="105"/>
      <c r="AE113" s="105"/>
      <c r="AF113" s="105"/>
      <c r="AG113" s="99">
        <v>1000</v>
      </c>
      <c r="AH113" s="100">
        <f t="shared" si="21"/>
        <v>8560</v>
      </c>
      <c r="AI113" s="106">
        <v>900</v>
      </c>
      <c r="AJ113" s="107" t="s">
        <v>110</v>
      </c>
      <c r="AK113" s="107">
        <v>8.56</v>
      </c>
      <c r="AL113" s="107">
        <f t="shared" si="31"/>
        <v>7704</v>
      </c>
      <c r="AM113" s="99">
        <v>1000</v>
      </c>
      <c r="AN113" s="100">
        <f t="shared" si="22"/>
        <v>8560</v>
      </c>
      <c r="AO113" s="108">
        <f t="shared" si="23"/>
        <v>2900</v>
      </c>
      <c r="AP113" s="308">
        <f t="shared" si="24"/>
        <v>7704</v>
      </c>
    </row>
    <row r="114" spans="1:50" ht="20.45" customHeight="1">
      <c r="A114" s="85" t="s">
        <v>273</v>
      </c>
      <c r="B114" s="86">
        <v>49</v>
      </c>
      <c r="C114" s="87">
        <v>527334</v>
      </c>
      <c r="D114" s="88">
        <v>781538</v>
      </c>
      <c r="E114" s="88"/>
      <c r="F114" s="117" t="s">
        <v>274</v>
      </c>
      <c r="G114" s="109" t="s">
        <v>275</v>
      </c>
      <c r="H114" s="109"/>
      <c r="I114" s="91">
        <v>1</v>
      </c>
      <c r="J114" s="92" t="s">
        <v>51</v>
      </c>
      <c r="K114" s="93">
        <v>1</v>
      </c>
      <c r="L114" s="93" t="s">
        <v>52</v>
      </c>
      <c r="M114" s="116">
        <f>100/10*12</f>
        <v>120</v>
      </c>
      <c r="N114" s="116">
        <f>164/9*12</f>
        <v>218.66666666666666</v>
      </c>
      <c r="O114" s="116">
        <v>282.66666666666669</v>
      </c>
      <c r="P114" s="94">
        <v>300</v>
      </c>
      <c r="Q114" s="95">
        <v>0</v>
      </c>
      <c r="R114" s="96">
        <f t="shared" ref="R114:R122" si="32">P114-Q114</f>
        <v>300</v>
      </c>
      <c r="S114" s="97">
        <v>145</v>
      </c>
      <c r="T114" s="98">
        <f t="shared" si="18"/>
        <v>43500</v>
      </c>
      <c r="U114" s="99">
        <v>0</v>
      </c>
      <c r="V114" s="100">
        <f t="shared" si="19"/>
        <v>0</v>
      </c>
      <c r="W114" s="101"/>
      <c r="X114" s="102"/>
      <c r="Y114" s="103"/>
      <c r="Z114" s="103"/>
      <c r="AA114" s="99">
        <v>100</v>
      </c>
      <c r="AB114" s="100">
        <f t="shared" si="20"/>
        <v>14500</v>
      </c>
      <c r="AC114" s="104">
        <v>100</v>
      </c>
      <c r="AD114" s="105" t="s">
        <v>61</v>
      </c>
      <c r="AE114" s="105">
        <v>98.44</v>
      </c>
      <c r="AF114" s="105">
        <f>AE114*AC114</f>
        <v>9844</v>
      </c>
      <c r="AG114" s="99">
        <v>100</v>
      </c>
      <c r="AH114" s="100">
        <f t="shared" si="21"/>
        <v>14500</v>
      </c>
      <c r="AI114" s="106">
        <v>100</v>
      </c>
      <c r="AJ114" s="107" t="s">
        <v>61</v>
      </c>
      <c r="AK114" s="107">
        <v>98.44</v>
      </c>
      <c r="AL114" s="107">
        <f t="shared" si="31"/>
        <v>9844</v>
      </c>
      <c r="AM114" s="99">
        <v>100</v>
      </c>
      <c r="AN114" s="100">
        <f t="shared" si="22"/>
        <v>14500</v>
      </c>
      <c r="AO114" s="108">
        <f t="shared" si="23"/>
        <v>300</v>
      </c>
      <c r="AP114" s="308">
        <f t="shared" si="24"/>
        <v>19688</v>
      </c>
      <c r="AT114" s="136"/>
      <c r="AU114" s="136"/>
      <c r="AV114" s="136"/>
      <c r="AW114" s="136"/>
      <c r="AX114" s="136"/>
    </row>
    <row r="115" spans="1:50" ht="20.45" customHeight="1">
      <c r="A115" s="85" t="s">
        <v>276</v>
      </c>
      <c r="B115" s="86">
        <v>50</v>
      </c>
      <c r="C115" s="87" t="s">
        <v>277</v>
      </c>
      <c r="D115" s="88">
        <v>846198</v>
      </c>
      <c r="E115" s="88"/>
      <c r="F115" s="89" t="s">
        <v>278</v>
      </c>
      <c r="G115" s="109" t="s">
        <v>279</v>
      </c>
      <c r="H115" s="109"/>
      <c r="I115" s="91">
        <v>1</v>
      </c>
      <c r="J115" s="92" t="s">
        <v>115</v>
      </c>
      <c r="K115" s="93">
        <v>1</v>
      </c>
      <c r="L115" s="93" t="s">
        <v>196</v>
      </c>
      <c r="M115" s="116">
        <f>1950/10*12</f>
        <v>2340</v>
      </c>
      <c r="N115" s="116">
        <f>1820/9*12</f>
        <v>2426.666666666667</v>
      </c>
      <c r="O115" s="116">
        <v>2166.6666666666665</v>
      </c>
      <c r="P115" s="94">
        <v>2280</v>
      </c>
      <c r="Q115" s="95">
        <v>580</v>
      </c>
      <c r="R115" s="96">
        <f t="shared" si="32"/>
        <v>1700</v>
      </c>
      <c r="S115" s="110">
        <v>10</v>
      </c>
      <c r="T115" s="98">
        <f t="shared" si="18"/>
        <v>17000</v>
      </c>
      <c r="U115" s="99">
        <v>500</v>
      </c>
      <c r="V115" s="100">
        <f t="shared" si="19"/>
        <v>5000</v>
      </c>
      <c r="W115" s="101">
        <v>500</v>
      </c>
      <c r="X115" s="102" t="s">
        <v>280</v>
      </c>
      <c r="Y115" s="103">
        <v>9.6300000000000008</v>
      </c>
      <c r="Z115" s="103">
        <f t="shared" ref="Z115:Z127" si="33">Y115*W115</f>
        <v>4815</v>
      </c>
      <c r="AA115" s="99">
        <v>400</v>
      </c>
      <c r="AB115" s="100">
        <f t="shared" si="20"/>
        <v>4000</v>
      </c>
      <c r="AC115" s="104">
        <v>400</v>
      </c>
      <c r="AD115" s="105" t="s">
        <v>197</v>
      </c>
      <c r="AE115" s="105">
        <v>9.6300000000000008</v>
      </c>
      <c r="AF115" s="105">
        <f>AE115*AC115</f>
        <v>3852.0000000000005</v>
      </c>
      <c r="AG115" s="99">
        <v>400</v>
      </c>
      <c r="AH115" s="100">
        <f t="shared" si="21"/>
        <v>4000</v>
      </c>
      <c r="AI115" s="106">
        <v>400</v>
      </c>
      <c r="AJ115" s="107" t="s">
        <v>197</v>
      </c>
      <c r="AK115" s="107">
        <v>9.6300000000000008</v>
      </c>
      <c r="AL115" s="107">
        <f t="shared" si="31"/>
        <v>3852.0000000000005</v>
      </c>
      <c r="AM115" s="99">
        <v>400</v>
      </c>
      <c r="AN115" s="100">
        <f t="shared" si="22"/>
        <v>4000</v>
      </c>
      <c r="AO115" s="108">
        <f t="shared" si="23"/>
        <v>1700</v>
      </c>
      <c r="AP115" s="308">
        <f t="shared" si="24"/>
        <v>12519</v>
      </c>
    </row>
    <row r="116" spans="1:50" ht="20.45" customHeight="1">
      <c r="A116" s="85" t="s">
        <v>286</v>
      </c>
      <c r="B116" s="86">
        <v>52</v>
      </c>
      <c r="C116" s="87" t="s">
        <v>287</v>
      </c>
      <c r="D116" s="88">
        <v>767025</v>
      </c>
      <c r="E116" s="88"/>
      <c r="F116" s="89" t="s">
        <v>288</v>
      </c>
      <c r="G116" s="113" t="s">
        <v>289</v>
      </c>
      <c r="H116" s="113" t="s">
        <v>110</v>
      </c>
      <c r="I116" s="114">
        <v>1</v>
      </c>
      <c r="J116" s="92" t="s">
        <v>88</v>
      </c>
      <c r="K116" s="93">
        <v>1</v>
      </c>
      <c r="L116" s="93" t="s">
        <v>73</v>
      </c>
      <c r="M116" s="116">
        <f>180/10*12</f>
        <v>216</v>
      </c>
      <c r="N116" s="116">
        <f>210/9*12</f>
        <v>280</v>
      </c>
      <c r="O116" s="116">
        <v>293.33333333333331</v>
      </c>
      <c r="P116" s="94">
        <v>300</v>
      </c>
      <c r="Q116" s="95">
        <v>0</v>
      </c>
      <c r="R116" s="96">
        <f t="shared" si="32"/>
        <v>300</v>
      </c>
      <c r="S116" s="97">
        <v>14.98</v>
      </c>
      <c r="T116" s="98">
        <f t="shared" si="18"/>
        <v>4494</v>
      </c>
      <c r="U116" s="139">
        <v>200</v>
      </c>
      <c r="V116" s="100">
        <f t="shared" si="19"/>
        <v>2996</v>
      </c>
      <c r="W116" s="101">
        <v>200</v>
      </c>
      <c r="X116" s="102" t="s">
        <v>110</v>
      </c>
      <c r="Y116" s="103">
        <f>749/50</f>
        <v>14.98</v>
      </c>
      <c r="Z116" s="103">
        <f t="shared" si="33"/>
        <v>2996</v>
      </c>
      <c r="AA116" s="99">
        <v>0</v>
      </c>
      <c r="AB116" s="100">
        <f t="shared" si="20"/>
        <v>0</v>
      </c>
      <c r="AC116" s="104"/>
      <c r="AD116" s="105"/>
      <c r="AE116" s="105"/>
      <c r="AF116" s="105">
        <f>AE116*AC116</f>
        <v>0</v>
      </c>
      <c r="AG116" s="99">
        <v>100</v>
      </c>
      <c r="AH116" s="100">
        <f t="shared" si="21"/>
        <v>1498</v>
      </c>
      <c r="AI116" s="106">
        <v>100</v>
      </c>
      <c r="AJ116" s="107" t="s">
        <v>110</v>
      </c>
      <c r="AK116" s="124">
        <f>856/50</f>
        <v>17.12</v>
      </c>
      <c r="AL116" s="107">
        <f t="shared" si="31"/>
        <v>1712</v>
      </c>
      <c r="AM116" s="99">
        <v>0</v>
      </c>
      <c r="AN116" s="100">
        <f t="shared" si="22"/>
        <v>0</v>
      </c>
      <c r="AO116" s="108">
        <f t="shared" si="23"/>
        <v>300</v>
      </c>
      <c r="AP116" s="308">
        <f t="shared" si="24"/>
        <v>4708</v>
      </c>
    </row>
    <row r="117" spans="1:50" ht="20.45" customHeight="1">
      <c r="A117" s="85" t="s">
        <v>290</v>
      </c>
      <c r="B117" s="86">
        <v>53</v>
      </c>
      <c r="C117" s="87" t="s">
        <v>291</v>
      </c>
      <c r="D117" s="88">
        <v>673177</v>
      </c>
      <c r="E117" s="88"/>
      <c r="F117" s="89" t="s">
        <v>292</v>
      </c>
      <c r="G117" s="109" t="s">
        <v>293</v>
      </c>
      <c r="H117" s="109"/>
      <c r="I117" s="91">
        <v>1</v>
      </c>
      <c r="J117" s="92" t="s">
        <v>94</v>
      </c>
      <c r="K117" s="93">
        <v>1</v>
      </c>
      <c r="L117" s="93" t="s">
        <v>95</v>
      </c>
      <c r="M117" s="116">
        <f>12400/10*12</f>
        <v>14880</v>
      </c>
      <c r="N117" s="116">
        <f>10400/9*12</f>
        <v>13866.666666666668</v>
      </c>
      <c r="O117" s="116">
        <v>13600</v>
      </c>
      <c r="P117" s="94">
        <v>13500</v>
      </c>
      <c r="Q117" s="95">
        <v>2500</v>
      </c>
      <c r="R117" s="96">
        <f t="shared" si="32"/>
        <v>11000</v>
      </c>
      <c r="S117" s="97">
        <v>6</v>
      </c>
      <c r="T117" s="98">
        <f t="shared" si="18"/>
        <v>66000</v>
      </c>
      <c r="U117" s="99">
        <v>3000</v>
      </c>
      <c r="V117" s="100">
        <f t="shared" si="19"/>
        <v>18000</v>
      </c>
      <c r="W117" s="101">
        <v>3000</v>
      </c>
      <c r="X117" s="102" t="s">
        <v>203</v>
      </c>
      <c r="Y117" s="103">
        <f>411.95/100</f>
        <v>4.1194999999999995</v>
      </c>
      <c r="Z117" s="103">
        <f t="shared" si="33"/>
        <v>12358.499999999998</v>
      </c>
      <c r="AA117" s="99">
        <v>3000</v>
      </c>
      <c r="AB117" s="100">
        <f t="shared" si="20"/>
        <v>18000</v>
      </c>
      <c r="AC117" s="104">
        <v>3000</v>
      </c>
      <c r="AD117" s="105" t="s">
        <v>203</v>
      </c>
      <c r="AE117" s="105">
        <v>4.1194999999999995</v>
      </c>
      <c r="AF117" s="105">
        <f>AE117*AC117</f>
        <v>12358.499999999998</v>
      </c>
      <c r="AG117" s="99">
        <v>3000</v>
      </c>
      <c r="AH117" s="100">
        <f t="shared" si="21"/>
        <v>18000</v>
      </c>
      <c r="AI117" s="106">
        <v>3000</v>
      </c>
      <c r="AJ117" s="107" t="s">
        <v>203</v>
      </c>
      <c r="AK117" s="107">
        <v>4.1194999999999995</v>
      </c>
      <c r="AL117" s="107">
        <f t="shared" si="31"/>
        <v>12358.499999999998</v>
      </c>
      <c r="AM117" s="99">
        <v>2000</v>
      </c>
      <c r="AN117" s="100">
        <f t="shared" si="22"/>
        <v>12000</v>
      </c>
      <c r="AO117" s="108">
        <f t="shared" si="23"/>
        <v>11000</v>
      </c>
      <c r="AP117" s="308">
        <f t="shared" si="24"/>
        <v>37075.499999999993</v>
      </c>
    </row>
    <row r="118" spans="1:50" ht="20.45" customHeight="1">
      <c r="A118" s="85" t="s">
        <v>294</v>
      </c>
      <c r="B118" s="86">
        <v>54</v>
      </c>
      <c r="C118" s="87" t="s">
        <v>295</v>
      </c>
      <c r="D118" s="88">
        <v>201143</v>
      </c>
      <c r="E118" s="88"/>
      <c r="F118" s="89" t="s">
        <v>296</v>
      </c>
      <c r="G118" s="109" t="s">
        <v>297</v>
      </c>
      <c r="H118" s="113"/>
      <c r="I118" s="114">
        <v>1</v>
      </c>
      <c r="J118" s="118" t="s">
        <v>83</v>
      </c>
      <c r="K118" s="115">
        <v>100</v>
      </c>
      <c r="L118" s="115" t="s">
        <v>84</v>
      </c>
      <c r="M118" s="116">
        <f>5*10/12</f>
        <v>4.166666666666667</v>
      </c>
      <c r="N118" s="116">
        <v>5</v>
      </c>
      <c r="O118" s="116">
        <v>0</v>
      </c>
      <c r="P118" s="94">
        <v>4</v>
      </c>
      <c r="Q118" s="95">
        <v>4</v>
      </c>
      <c r="R118" s="96">
        <f t="shared" si="32"/>
        <v>0</v>
      </c>
      <c r="S118" s="97">
        <v>225</v>
      </c>
      <c r="T118" s="98">
        <f t="shared" si="18"/>
        <v>0</v>
      </c>
      <c r="U118" s="99">
        <v>0</v>
      </c>
      <c r="V118" s="100">
        <f t="shared" si="19"/>
        <v>0</v>
      </c>
      <c r="W118" s="101"/>
      <c r="X118" s="102"/>
      <c r="Y118" s="103"/>
      <c r="Z118" s="103">
        <f t="shared" si="33"/>
        <v>0</v>
      </c>
      <c r="AA118" s="99">
        <v>0</v>
      </c>
      <c r="AB118" s="100">
        <f t="shared" si="20"/>
        <v>0</v>
      </c>
      <c r="AC118" s="104"/>
      <c r="AD118" s="105"/>
      <c r="AE118" s="105"/>
      <c r="AF118" s="105"/>
      <c r="AG118" s="99">
        <v>0</v>
      </c>
      <c r="AH118" s="100">
        <f t="shared" si="21"/>
        <v>0</v>
      </c>
      <c r="AI118" s="106"/>
      <c r="AJ118" s="107"/>
      <c r="AK118" s="107"/>
      <c r="AL118" s="107">
        <f t="shared" si="31"/>
        <v>0</v>
      </c>
      <c r="AM118" s="99">
        <v>0</v>
      </c>
      <c r="AN118" s="100">
        <f t="shared" si="22"/>
        <v>0</v>
      </c>
      <c r="AO118" s="108">
        <f t="shared" si="23"/>
        <v>0</v>
      </c>
      <c r="AP118" s="308">
        <f t="shared" si="24"/>
        <v>0</v>
      </c>
    </row>
    <row r="119" spans="1:50" ht="20.45" customHeight="1">
      <c r="A119" s="85" t="s">
        <v>298</v>
      </c>
      <c r="B119" s="86">
        <v>55</v>
      </c>
      <c r="C119" s="87" t="s">
        <v>299</v>
      </c>
      <c r="D119" s="88">
        <v>246895</v>
      </c>
      <c r="E119" s="88"/>
      <c r="F119" s="89" t="s">
        <v>300</v>
      </c>
      <c r="G119" s="109" t="s">
        <v>301</v>
      </c>
      <c r="H119" s="109"/>
      <c r="I119" s="91">
        <v>1</v>
      </c>
      <c r="J119" s="92" t="s">
        <v>83</v>
      </c>
      <c r="K119" s="93">
        <v>100</v>
      </c>
      <c r="L119" s="93" t="s">
        <v>84</v>
      </c>
      <c r="M119" s="116">
        <f>70/10*12</f>
        <v>84</v>
      </c>
      <c r="N119" s="116">
        <f>35/9*12</f>
        <v>46.666666666666664</v>
      </c>
      <c r="O119" s="116">
        <v>40</v>
      </c>
      <c r="P119" s="94">
        <v>45</v>
      </c>
      <c r="Q119" s="95">
        <v>5</v>
      </c>
      <c r="R119" s="96">
        <f t="shared" si="32"/>
        <v>40</v>
      </c>
      <c r="S119" s="97">
        <v>139</v>
      </c>
      <c r="T119" s="98">
        <f t="shared" si="18"/>
        <v>5560</v>
      </c>
      <c r="U119" s="99">
        <v>20</v>
      </c>
      <c r="V119" s="100">
        <f t="shared" si="19"/>
        <v>2780</v>
      </c>
      <c r="W119" s="101">
        <v>20</v>
      </c>
      <c r="X119" s="102" t="s">
        <v>122</v>
      </c>
      <c r="Y119" s="103">
        <f>600/5</f>
        <v>120</v>
      </c>
      <c r="Z119" s="103">
        <f t="shared" si="33"/>
        <v>2400</v>
      </c>
      <c r="AA119" s="99">
        <v>0</v>
      </c>
      <c r="AB119" s="100">
        <f t="shared" si="20"/>
        <v>0</v>
      </c>
      <c r="AC119" s="104"/>
      <c r="AD119" s="105"/>
      <c r="AE119" s="105"/>
      <c r="AF119" s="105"/>
      <c r="AG119" s="99">
        <v>20</v>
      </c>
      <c r="AH119" s="100">
        <f t="shared" si="21"/>
        <v>2780</v>
      </c>
      <c r="AI119" s="106">
        <v>20</v>
      </c>
      <c r="AJ119" s="107" t="s">
        <v>122</v>
      </c>
      <c r="AK119" s="107">
        <v>120</v>
      </c>
      <c r="AL119" s="107">
        <f t="shared" si="31"/>
        <v>2400</v>
      </c>
      <c r="AM119" s="99">
        <v>0</v>
      </c>
      <c r="AN119" s="100">
        <f t="shared" si="22"/>
        <v>0</v>
      </c>
      <c r="AO119" s="108">
        <f t="shared" si="23"/>
        <v>40</v>
      </c>
      <c r="AP119" s="308">
        <f t="shared" si="24"/>
        <v>4800</v>
      </c>
    </row>
    <row r="120" spans="1:50" ht="20.45" customHeight="1">
      <c r="A120" s="85" t="s">
        <v>306</v>
      </c>
      <c r="B120" s="86">
        <v>57</v>
      </c>
      <c r="C120" s="87" t="s">
        <v>307</v>
      </c>
      <c r="D120" s="88">
        <v>977511</v>
      </c>
      <c r="E120" s="88"/>
      <c r="F120" s="89" t="s">
        <v>308</v>
      </c>
      <c r="G120" s="109" t="s">
        <v>309</v>
      </c>
      <c r="H120" s="109"/>
      <c r="I120" s="91">
        <v>1</v>
      </c>
      <c r="J120" s="92" t="s">
        <v>88</v>
      </c>
      <c r="K120" s="93">
        <v>1</v>
      </c>
      <c r="L120" s="93" t="s">
        <v>202</v>
      </c>
      <c r="M120" s="116">
        <f>1120*12/10</f>
        <v>1344</v>
      </c>
      <c r="N120" s="116">
        <f>1000/9*12</f>
        <v>1333.3333333333335</v>
      </c>
      <c r="O120" s="116">
        <v>1686.6666666666667</v>
      </c>
      <c r="P120" s="94">
        <v>1720</v>
      </c>
      <c r="Q120" s="95">
        <v>120</v>
      </c>
      <c r="R120" s="96">
        <f t="shared" si="32"/>
        <v>1600</v>
      </c>
      <c r="S120" s="97">
        <v>20</v>
      </c>
      <c r="T120" s="98">
        <f t="shared" si="18"/>
        <v>32000</v>
      </c>
      <c r="U120" s="99">
        <v>400</v>
      </c>
      <c r="V120" s="100">
        <f t="shared" si="19"/>
        <v>8000</v>
      </c>
      <c r="W120" s="101">
        <v>400</v>
      </c>
      <c r="X120" s="102" t="s">
        <v>212</v>
      </c>
      <c r="Y120" s="103">
        <f>810/50</f>
        <v>16.2</v>
      </c>
      <c r="Z120" s="103">
        <f t="shared" si="33"/>
        <v>6480</v>
      </c>
      <c r="AA120" s="99">
        <v>400</v>
      </c>
      <c r="AB120" s="100">
        <f t="shared" si="20"/>
        <v>8000</v>
      </c>
      <c r="AC120" s="104">
        <v>400</v>
      </c>
      <c r="AD120" s="105" t="s">
        <v>212</v>
      </c>
      <c r="AE120" s="105">
        <v>16.2</v>
      </c>
      <c r="AF120" s="105">
        <f>AE120*AC120</f>
        <v>6480</v>
      </c>
      <c r="AG120" s="99">
        <v>400</v>
      </c>
      <c r="AH120" s="100">
        <f t="shared" si="21"/>
        <v>8000</v>
      </c>
      <c r="AI120" s="106"/>
      <c r="AJ120" s="107"/>
      <c r="AK120" s="107"/>
      <c r="AL120" s="107">
        <f t="shared" si="31"/>
        <v>0</v>
      </c>
      <c r="AM120" s="99">
        <v>400</v>
      </c>
      <c r="AN120" s="100">
        <f t="shared" si="22"/>
        <v>8000</v>
      </c>
      <c r="AO120" s="108">
        <f t="shared" si="23"/>
        <v>1600</v>
      </c>
      <c r="AP120" s="308">
        <f t="shared" si="24"/>
        <v>12960</v>
      </c>
    </row>
    <row r="121" spans="1:50" ht="20.45" customHeight="1">
      <c r="A121" s="85" t="s">
        <v>310</v>
      </c>
      <c r="B121" s="86">
        <v>58</v>
      </c>
      <c r="C121" s="87" t="s">
        <v>311</v>
      </c>
      <c r="D121" s="88">
        <v>961302</v>
      </c>
      <c r="E121" s="88"/>
      <c r="F121" s="89" t="s">
        <v>312</v>
      </c>
      <c r="G121" s="113" t="s">
        <v>313</v>
      </c>
      <c r="H121" s="113" t="s">
        <v>169</v>
      </c>
      <c r="I121" s="114">
        <v>1</v>
      </c>
      <c r="J121" s="118" t="s">
        <v>88</v>
      </c>
      <c r="K121" s="115">
        <v>1</v>
      </c>
      <c r="L121" s="115" t="s">
        <v>202</v>
      </c>
      <c r="M121" s="116">
        <f>13100/10*12</f>
        <v>15720</v>
      </c>
      <c r="N121" s="116">
        <f>12200/9*12</f>
        <v>16266.666666666668</v>
      </c>
      <c r="O121" s="116">
        <v>18133.333333333332</v>
      </c>
      <c r="P121" s="94">
        <v>18700</v>
      </c>
      <c r="Q121" s="95">
        <v>3700</v>
      </c>
      <c r="R121" s="96">
        <f t="shared" si="32"/>
        <v>15000</v>
      </c>
      <c r="S121" s="131">
        <v>20</v>
      </c>
      <c r="T121" s="98">
        <f t="shared" si="18"/>
        <v>300000</v>
      </c>
      <c r="U121" s="99">
        <v>8000</v>
      </c>
      <c r="V121" s="100">
        <f t="shared" si="19"/>
        <v>160000</v>
      </c>
      <c r="W121" s="101">
        <f>2*4000</f>
        <v>8000</v>
      </c>
      <c r="X121" s="102" t="s">
        <v>203</v>
      </c>
      <c r="Y121" s="103">
        <f>191.53/10</f>
        <v>19.152999999999999</v>
      </c>
      <c r="Z121" s="103">
        <f t="shared" si="33"/>
        <v>153224</v>
      </c>
      <c r="AA121" s="99">
        <v>0</v>
      </c>
      <c r="AB121" s="100">
        <f t="shared" si="20"/>
        <v>0</v>
      </c>
      <c r="AC121" s="104"/>
      <c r="AD121" s="105"/>
      <c r="AE121" s="105"/>
      <c r="AF121" s="105">
        <f>AE121*AC121</f>
        <v>0</v>
      </c>
      <c r="AG121" s="99">
        <v>4000</v>
      </c>
      <c r="AH121" s="100">
        <f t="shared" si="21"/>
        <v>80000</v>
      </c>
      <c r="AI121" s="106">
        <v>4000</v>
      </c>
      <c r="AJ121" s="107" t="s">
        <v>203</v>
      </c>
      <c r="AK121" s="107">
        <f>191.53/10</f>
        <v>19.152999999999999</v>
      </c>
      <c r="AL121" s="107">
        <f t="shared" si="31"/>
        <v>76612</v>
      </c>
      <c r="AM121" s="99">
        <v>3000</v>
      </c>
      <c r="AN121" s="100">
        <f t="shared" si="22"/>
        <v>60000</v>
      </c>
      <c r="AO121" s="108">
        <f t="shared" si="23"/>
        <v>15000</v>
      </c>
      <c r="AP121" s="308">
        <f t="shared" si="24"/>
        <v>229836</v>
      </c>
    </row>
    <row r="122" spans="1:50" ht="20.45" customHeight="1">
      <c r="A122" s="85" t="s">
        <v>314</v>
      </c>
      <c r="B122" s="86">
        <v>59</v>
      </c>
      <c r="C122" s="87" t="s">
        <v>315</v>
      </c>
      <c r="D122" s="88">
        <v>694511</v>
      </c>
      <c r="E122" s="88"/>
      <c r="F122" s="89" t="s">
        <v>316</v>
      </c>
      <c r="G122" s="109" t="s">
        <v>317</v>
      </c>
      <c r="H122" s="109"/>
      <c r="I122" s="91">
        <v>1</v>
      </c>
      <c r="J122" s="92" t="s">
        <v>88</v>
      </c>
      <c r="K122" s="93">
        <v>1</v>
      </c>
      <c r="L122" s="93" t="s">
        <v>202</v>
      </c>
      <c r="M122" s="116">
        <f>23000/10*12</f>
        <v>27600</v>
      </c>
      <c r="N122" s="116">
        <f>23400/9*12</f>
        <v>31200</v>
      </c>
      <c r="O122" s="116">
        <v>27093.333333333332</v>
      </c>
      <c r="P122" s="94">
        <v>28000</v>
      </c>
      <c r="Q122" s="133">
        <v>4000</v>
      </c>
      <c r="R122" s="96">
        <f t="shared" si="32"/>
        <v>24000</v>
      </c>
      <c r="S122" s="131">
        <v>10</v>
      </c>
      <c r="T122" s="98">
        <f t="shared" si="18"/>
        <v>240000</v>
      </c>
      <c r="U122" s="99">
        <v>6000</v>
      </c>
      <c r="V122" s="100">
        <f t="shared" si="19"/>
        <v>60000</v>
      </c>
      <c r="W122" s="101">
        <v>6000</v>
      </c>
      <c r="X122" s="102" t="s">
        <v>203</v>
      </c>
      <c r="Y122" s="103">
        <v>7.95</v>
      </c>
      <c r="Z122" s="103">
        <f t="shared" si="33"/>
        <v>47700</v>
      </c>
      <c r="AA122" s="99">
        <v>6000</v>
      </c>
      <c r="AB122" s="100">
        <f t="shared" si="20"/>
        <v>60000</v>
      </c>
      <c r="AC122" s="104">
        <v>6000</v>
      </c>
      <c r="AD122" s="105" t="s">
        <v>203</v>
      </c>
      <c r="AE122" s="105">
        <v>7.95</v>
      </c>
      <c r="AF122" s="105">
        <f>AE122*AC122</f>
        <v>47700</v>
      </c>
      <c r="AG122" s="99">
        <v>6000</v>
      </c>
      <c r="AH122" s="100">
        <f t="shared" si="21"/>
        <v>60000</v>
      </c>
      <c r="AI122" s="106">
        <v>6000</v>
      </c>
      <c r="AJ122" s="107" t="s">
        <v>203</v>
      </c>
      <c r="AK122" s="107">
        <v>7.95</v>
      </c>
      <c r="AL122" s="107">
        <f t="shared" si="31"/>
        <v>47700</v>
      </c>
      <c r="AM122" s="99">
        <v>6000</v>
      </c>
      <c r="AN122" s="100">
        <f t="shared" si="22"/>
        <v>60000</v>
      </c>
      <c r="AO122" s="108">
        <f t="shared" si="23"/>
        <v>24000</v>
      </c>
      <c r="AP122" s="308">
        <f t="shared" si="24"/>
        <v>143100</v>
      </c>
    </row>
    <row r="123" spans="1:50" ht="20.45" customHeight="1">
      <c r="A123" s="85" t="s">
        <v>318</v>
      </c>
      <c r="B123" s="86">
        <v>60</v>
      </c>
      <c r="C123" s="87" t="s">
        <v>319</v>
      </c>
      <c r="D123" s="88">
        <v>525622</v>
      </c>
      <c r="E123" s="88"/>
      <c r="F123" s="89" t="s">
        <v>320</v>
      </c>
      <c r="G123" s="109" t="s">
        <v>321</v>
      </c>
      <c r="H123" s="109"/>
      <c r="I123" s="91">
        <v>1</v>
      </c>
      <c r="J123" s="92" t="s">
        <v>322</v>
      </c>
      <c r="K123" s="93">
        <v>1</v>
      </c>
      <c r="L123" s="93" t="s">
        <v>52</v>
      </c>
      <c r="M123" s="116">
        <f>240/10*12</f>
        <v>288</v>
      </c>
      <c r="N123" s="116">
        <f>280/9*12</f>
        <v>373.33333333333331</v>
      </c>
      <c r="O123" s="116">
        <v>433.33333333333331</v>
      </c>
      <c r="P123" s="94">
        <v>480</v>
      </c>
      <c r="Q123" s="133">
        <v>80</v>
      </c>
      <c r="R123" s="132">
        <v>200</v>
      </c>
      <c r="S123" s="97">
        <v>29.25</v>
      </c>
      <c r="T123" s="98">
        <f t="shared" si="18"/>
        <v>5850</v>
      </c>
      <c r="U123" s="99">
        <v>0</v>
      </c>
      <c r="V123" s="100">
        <f t="shared" si="19"/>
        <v>0</v>
      </c>
      <c r="W123" s="101"/>
      <c r="X123" s="102"/>
      <c r="Y123" s="103"/>
      <c r="Z123" s="103">
        <f t="shared" si="33"/>
        <v>0</v>
      </c>
      <c r="AA123" s="99">
        <v>0</v>
      </c>
      <c r="AB123" s="100">
        <f t="shared" si="20"/>
        <v>0</v>
      </c>
      <c r="AC123" s="104"/>
      <c r="AD123" s="105"/>
      <c r="AE123" s="105"/>
      <c r="AF123" s="105">
        <f>AE123*AC123</f>
        <v>0</v>
      </c>
      <c r="AG123" s="99">
        <v>200</v>
      </c>
      <c r="AH123" s="100">
        <f t="shared" si="21"/>
        <v>5850</v>
      </c>
      <c r="AI123" s="106"/>
      <c r="AJ123" s="107"/>
      <c r="AK123" s="107"/>
      <c r="AL123" s="107">
        <f t="shared" si="31"/>
        <v>0</v>
      </c>
      <c r="AM123" s="99">
        <v>0</v>
      </c>
      <c r="AN123" s="100">
        <f t="shared" si="22"/>
        <v>0</v>
      </c>
      <c r="AO123" s="108">
        <f t="shared" si="23"/>
        <v>200</v>
      </c>
      <c r="AP123" s="308">
        <f t="shared" si="24"/>
        <v>0</v>
      </c>
    </row>
    <row r="124" spans="1:50" ht="20.45" customHeight="1">
      <c r="A124" s="85" t="s">
        <v>323</v>
      </c>
      <c r="B124" s="86">
        <v>61</v>
      </c>
      <c r="C124" s="87" t="s">
        <v>324</v>
      </c>
      <c r="D124" s="88">
        <v>525819</v>
      </c>
      <c r="E124" s="88"/>
      <c r="F124" s="89" t="s">
        <v>325</v>
      </c>
      <c r="G124" s="109" t="s">
        <v>326</v>
      </c>
      <c r="H124" s="109"/>
      <c r="I124" s="91">
        <v>1</v>
      </c>
      <c r="J124" s="92" t="s">
        <v>327</v>
      </c>
      <c r="K124" s="93">
        <v>1</v>
      </c>
      <c r="L124" s="93" t="s">
        <v>52</v>
      </c>
      <c r="M124" s="116">
        <f>1427/10*12</f>
        <v>1712.3999999999999</v>
      </c>
      <c r="N124" s="116">
        <f>1322/9*12</f>
        <v>1762.6666666666665</v>
      </c>
      <c r="O124" s="116">
        <v>1572</v>
      </c>
      <c r="P124" s="94">
        <v>1570</v>
      </c>
      <c r="Q124" s="95">
        <v>130</v>
      </c>
      <c r="R124" s="132">
        <v>1350</v>
      </c>
      <c r="S124" s="97">
        <v>19</v>
      </c>
      <c r="T124" s="98">
        <f t="shared" si="18"/>
        <v>25650</v>
      </c>
      <c r="U124" s="99">
        <v>450</v>
      </c>
      <c r="V124" s="100">
        <f t="shared" si="19"/>
        <v>8550</v>
      </c>
      <c r="W124" s="101">
        <v>450</v>
      </c>
      <c r="X124" s="102" t="s">
        <v>212</v>
      </c>
      <c r="Y124" s="103">
        <f>950/50</f>
        <v>19</v>
      </c>
      <c r="Z124" s="103">
        <f t="shared" si="33"/>
        <v>8550</v>
      </c>
      <c r="AA124" s="99">
        <v>450</v>
      </c>
      <c r="AB124" s="100">
        <f t="shared" si="20"/>
        <v>8550</v>
      </c>
      <c r="AC124" s="104">
        <v>450</v>
      </c>
      <c r="AD124" s="105" t="s">
        <v>212</v>
      </c>
      <c r="AE124" s="105">
        <f>950/50</f>
        <v>19</v>
      </c>
      <c r="AF124" s="105">
        <f>AE124*AC124</f>
        <v>8550</v>
      </c>
      <c r="AG124" s="99">
        <v>0</v>
      </c>
      <c r="AH124" s="100">
        <f t="shared" si="21"/>
        <v>0</v>
      </c>
      <c r="AI124" s="106">
        <v>450</v>
      </c>
      <c r="AJ124" s="107" t="s">
        <v>212</v>
      </c>
      <c r="AK124" s="107">
        <v>19</v>
      </c>
      <c r="AL124" s="107">
        <f t="shared" si="31"/>
        <v>8550</v>
      </c>
      <c r="AM124" s="99">
        <v>450</v>
      </c>
      <c r="AN124" s="100">
        <f t="shared" si="22"/>
        <v>8550</v>
      </c>
      <c r="AO124" s="108">
        <f t="shared" si="23"/>
        <v>1350</v>
      </c>
      <c r="AP124" s="308">
        <f t="shared" si="24"/>
        <v>25650</v>
      </c>
    </row>
    <row r="125" spans="1:50" ht="20.45" customHeight="1">
      <c r="A125" s="85" t="s">
        <v>328</v>
      </c>
      <c r="B125" s="86">
        <v>62</v>
      </c>
      <c r="C125" s="87">
        <v>871773</v>
      </c>
      <c r="D125" s="141">
        <v>655942</v>
      </c>
      <c r="E125" s="141"/>
      <c r="F125" s="117" t="s">
        <v>329</v>
      </c>
      <c r="G125" s="109" t="s">
        <v>330</v>
      </c>
      <c r="H125" s="109"/>
      <c r="I125" s="114">
        <v>1</v>
      </c>
      <c r="J125" s="92" t="s">
        <v>331</v>
      </c>
      <c r="K125" s="93">
        <v>1</v>
      </c>
      <c r="L125" s="93" t="s">
        <v>267</v>
      </c>
      <c r="M125" s="116">
        <f>536*12/10</f>
        <v>643.20000000000005</v>
      </c>
      <c r="N125" s="116">
        <f>434/9*12</f>
        <v>578.66666666666663</v>
      </c>
      <c r="O125" s="116">
        <v>560</v>
      </c>
      <c r="P125" s="94">
        <v>565</v>
      </c>
      <c r="Q125" s="95">
        <v>65</v>
      </c>
      <c r="R125" s="132">
        <v>400</v>
      </c>
      <c r="S125" s="97">
        <v>16.399999999999999</v>
      </c>
      <c r="T125" s="98">
        <f t="shared" si="18"/>
        <v>6559.9999999999991</v>
      </c>
      <c r="U125" s="99">
        <v>200</v>
      </c>
      <c r="V125" s="100">
        <f t="shared" si="19"/>
        <v>3279.9999999999995</v>
      </c>
      <c r="W125" s="101">
        <v>200</v>
      </c>
      <c r="X125" s="102" t="s">
        <v>332</v>
      </c>
      <c r="Y125" s="103">
        <v>16.399999999999999</v>
      </c>
      <c r="Z125" s="103">
        <f t="shared" si="33"/>
        <v>3279.9999999999995</v>
      </c>
      <c r="AA125" s="99">
        <v>0</v>
      </c>
      <c r="AB125" s="100">
        <f t="shared" si="20"/>
        <v>0</v>
      </c>
      <c r="AC125" s="104"/>
      <c r="AD125" s="105"/>
      <c r="AE125" s="105"/>
      <c r="AF125" s="105"/>
      <c r="AG125" s="99">
        <v>200</v>
      </c>
      <c r="AH125" s="100">
        <f t="shared" si="21"/>
        <v>3279.9999999999995</v>
      </c>
      <c r="AI125" s="106"/>
      <c r="AJ125" s="107"/>
      <c r="AK125" s="107"/>
      <c r="AL125" s="107"/>
      <c r="AM125" s="99">
        <v>0</v>
      </c>
      <c r="AN125" s="100">
        <f t="shared" si="22"/>
        <v>0</v>
      </c>
      <c r="AO125" s="108">
        <f t="shared" si="23"/>
        <v>400</v>
      </c>
      <c r="AP125" s="308">
        <f t="shared" si="24"/>
        <v>3279.9999999999995</v>
      </c>
    </row>
    <row r="126" spans="1:50" ht="20.45" customHeight="1">
      <c r="A126" s="85" t="s">
        <v>333</v>
      </c>
      <c r="B126" s="86">
        <v>63</v>
      </c>
      <c r="C126" s="87" t="s">
        <v>334</v>
      </c>
      <c r="D126" s="88">
        <v>279220</v>
      </c>
      <c r="E126" s="88"/>
      <c r="F126" s="89" t="s">
        <v>335</v>
      </c>
      <c r="G126" s="109" t="s">
        <v>336</v>
      </c>
      <c r="H126" s="109"/>
      <c r="I126" s="91">
        <v>1</v>
      </c>
      <c r="J126" s="92" t="s">
        <v>83</v>
      </c>
      <c r="K126" s="93">
        <v>1000</v>
      </c>
      <c r="L126" s="93" t="s">
        <v>84</v>
      </c>
      <c r="M126" s="116">
        <f>8*12/10</f>
        <v>9.6</v>
      </c>
      <c r="N126" s="116">
        <v>7</v>
      </c>
      <c r="O126" s="116">
        <v>10.666666666666666</v>
      </c>
      <c r="P126" s="94">
        <v>11</v>
      </c>
      <c r="Q126" s="95">
        <v>1</v>
      </c>
      <c r="R126" s="96">
        <f t="shared" ref="R126:R131" si="34">P126-Q126</f>
        <v>10</v>
      </c>
      <c r="S126" s="97">
        <v>860</v>
      </c>
      <c r="T126" s="98">
        <f t="shared" si="18"/>
        <v>8600</v>
      </c>
      <c r="U126" s="111">
        <v>5</v>
      </c>
      <c r="V126" s="100">
        <f t="shared" si="19"/>
        <v>4300</v>
      </c>
      <c r="W126" s="101">
        <v>5</v>
      </c>
      <c r="X126" s="102" t="s">
        <v>337</v>
      </c>
      <c r="Y126" s="103">
        <v>860</v>
      </c>
      <c r="Z126" s="103">
        <f t="shared" si="33"/>
        <v>4300</v>
      </c>
      <c r="AA126" s="99">
        <v>0</v>
      </c>
      <c r="AB126" s="100">
        <f t="shared" si="20"/>
        <v>0</v>
      </c>
      <c r="AC126" s="104"/>
      <c r="AD126" s="105"/>
      <c r="AE126" s="105"/>
      <c r="AF126" s="105"/>
      <c r="AG126" s="99">
        <v>5</v>
      </c>
      <c r="AH126" s="100">
        <f t="shared" si="21"/>
        <v>4300</v>
      </c>
      <c r="AI126" s="106">
        <v>5</v>
      </c>
      <c r="AJ126" s="107" t="s">
        <v>186</v>
      </c>
      <c r="AK126" s="107">
        <v>860</v>
      </c>
      <c r="AL126" s="107">
        <f>AK126*AI126</f>
        <v>4300</v>
      </c>
      <c r="AM126" s="99">
        <v>0</v>
      </c>
      <c r="AN126" s="100">
        <f t="shared" si="22"/>
        <v>0</v>
      </c>
      <c r="AO126" s="108">
        <f t="shared" si="23"/>
        <v>10</v>
      </c>
      <c r="AP126" s="308">
        <f t="shared" si="24"/>
        <v>8600</v>
      </c>
    </row>
    <row r="127" spans="1:50" ht="20.45" customHeight="1">
      <c r="A127" s="85" t="s">
        <v>338</v>
      </c>
      <c r="B127" s="86">
        <v>64</v>
      </c>
      <c r="C127" s="87" t="s">
        <v>339</v>
      </c>
      <c r="D127" s="88">
        <v>368362</v>
      </c>
      <c r="E127" s="88"/>
      <c r="F127" s="89" t="s">
        <v>340</v>
      </c>
      <c r="G127" s="109" t="s">
        <v>341</v>
      </c>
      <c r="H127" s="109"/>
      <c r="I127" s="91">
        <v>1</v>
      </c>
      <c r="J127" s="92" t="s">
        <v>83</v>
      </c>
      <c r="K127" s="93">
        <v>1000</v>
      </c>
      <c r="L127" s="93" t="s">
        <v>84</v>
      </c>
      <c r="M127" s="116">
        <f>7/10*12</f>
        <v>8.3999999999999986</v>
      </c>
      <c r="N127" s="116">
        <f>5/9*12</f>
        <v>6.666666666666667</v>
      </c>
      <c r="O127" s="116">
        <v>7.333333333333333</v>
      </c>
      <c r="P127" s="94">
        <v>7</v>
      </c>
      <c r="Q127" s="95">
        <v>0</v>
      </c>
      <c r="R127" s="96">
        <f t="shared" si="34"/>
        <v>7</v>
      </c>
      <c r="S127" s="97">
        <v>1100</v>
      </c>
      <c r="T127" s="98">
        <f t="shared" si="18"/>
        <v>7700</v>
      </c>
      <c r="U127" s="99">
        <v>7</v>
      </c>
      <c r="V127" s="100">
        <f t="shared" si="19"/>
        <v>7700</v>
      </c>
      <c r="W127" s="101">
        <v>7</v>
      </c>
      <c r="X127" s="102" t="s">
        <v>342</v>
      </c>
      <c r="Y127" s="103">
        <v>1100</v>
      </c>
      <c r="Z127" s="103">
        <f t="shared" si="33"/>
        <v>7700</v>
      </c>
      <c r="AA127" s="99">
        <v>0</v>
      </c>
      <c r="AB127" s="100">
        <f t="shared" si="20"/>
        <v>0</v>
      </c>
      <c r="AC127" s="104"/>
      <c r="AD127" s="105"/>
      <c r="AE127" s="105"/>
      <c r="AF127" s="105"/>
      <c r="AG127" s="99">
        <v>0</v>
      </c>
      <c r="AH127" s="100">
        <f t="shared" si="21"/>
        <v>0</v>
      </c>
      <c r="AI127" s="106"/>
      <c r="AJ127" s="107"/>
      <c r="AK127" s="107"/>
      <c r="AL127" s="107"/>
      <c r="AM127" s="99">
        <v>0</v>
      </c>
      <c r="AN127" s="100">
        <f t="shared" si="22"/>
        <v>0</v>
      </c>
      <c r="AO127" s="108">
        <f t="shared" si="23"/>
        <v>7</v>
      </c>
      <c r="AP127" s="308">
        <f t="shared" si="24"/>
        <v>7700</v>
      </c>
    </row>
    <row r="128" spans="1:50" ht="20.45" customHeight="1">
      <c r="A128" s="85" t="s">
        <v>343</v>
      </c>
      <c r="B128" s="86">
        <v>65</v>
      </c>
      <c r="C128" s="87" t="s">
        <v>344</v>
      </c>
      <c r="D128" s="88">
        <v>268960</v>
      </c>
      <c r="E128" s="88"/>
      <c r="F128" s="89" t="s">
        <v>345</v>
      </c>
      <c r="G128" s="109" t="s">
        <v>346</v>
      </c>
      <c r="H128" s="109"/>
      <c r="I128" s="91">
        <v>1</v>
      </c>
      <c r="J128" s="92" t="s">
        <v>83</v>
      </c>
      <c r="K128" s="93">
        <v>1000</v>
      </c>
      <c r="L128" s="93" t="s">
        <v>84</v>
      </c>
      <c r="M128" s="116">
        <f>6/10*12</f>
        <v>7.1999999999999993</v>
      </c>
      <c r="N128" s="116">
        <f>5/9*12</f>
        <v>6.666666666666667</v>
      </c>
      <c r="O128" s="116">
        <v>10.666666666666666</v>
      </c>
      <c r="P128" s="94">
        <v>12</v>
      </c>
      <c r="Q128" s="95">
        <v>2</v>
      </c>
      <c r="R128" s="96">
        <f t="shared" si="34"/>
        <v>10</v>
      </c>
      <c r="S128" s="97">
        <v>420</v>
      </c>
      <c r="T128" s="98">
        <f t="shared" si="18"/>
        <v>4200</v>
      </c>
      <c r="U128" s="99">
        <v>0</v>
      </c>
      <c r="V128" s="100">
        <f t="shared" si="19"/>
        <v>0</v>
      </c>
      <c r="W128" s="101"/>
      <c r="X128" s="102"/>
      <c r="Y128" s="103"/>
      <c r="Z128" s="103"/>
      <c r="AA128" s="99">
        <v>0</v>
      </c>
      <c r="AB128" s="100">
        <f t="shared" si="20"/>
        <v>0</v>
      </c>
      <c r="AC128" s="104"/>
      <c r="AD128" s="105"/>
      <c r="AE128" s="105"/>
      <c r="AF128" s="105"/>
      <c r="AG128" s="99">
        <v>10</v>
      </c>
      <c r="AH128" s="100">
        <f t="shared" si="21"/>
        <v>4200</v>
      </c>
      <c r="AI128" s="106"/>
      <c r="AJ128" s="107"/>
      <c r="AK128" s="107"/>
      <c r="AL128" s="107"/>
      <c r="AM128" s="99">
        <v>0</v>
      </c>
      <c r="AN128" s="100">
        <f t="shared" si="22"/>
        <v>0</v>
      </c>
      <c r="AO128" s="108">
        <f t="shared" si="23"/>
        <v>10</v>
      </c>
      <c r="AP128" s="308">
        <f t="shared" si="24"/>
        <v>0</v>
      </c>
    </row>
    <row r="129" spans="1:50" ht="20.45" customHeight="1">
      <c r="A129" s="85" t="s">
        <v>347</v>
      </c>
      <c r="B129" s="86">
        <v>66</v>
      </c>
      <c r="C129" s="87" t="s">
        <v>348</v>
      </c>
      <c r="D129" s="142">
        <v>280924</v>
      </c>
      <c r="E129" s="142"/>
      <c r="F129" s="89" t="s">
        <v>349</v>
      </c>
      <c r="G129" s="109" t="s">
        <v>350</v>
      </c>
      <c r="H129" s="109"/>
      <c r="I129" s="91">
        <v>1</v>
      </c>
      <c r="J129" s="92" t="s">
        <v>83</v>
      </c>
      <c r="K129" s="93">
        <v>1000</v>
      </c>
      <c r="L129" s="93" t="s">
        <v>84</v>
      </c>
      <c r="M129" s="116">
        <f>16*12/10</f>
        <v>19.2</v>
      </c>
      <c r="N129" s="116">
        <f>16/9*12</f>
        <v>21.333333333333332</v>
      </c>
      <c r="O129" s="116">
        <v>25.333333333333332</v>
      </c>
      <c r="P129" s="94">
        <v>25</v>
      </c>
      <c r="Q129" s="95">
        <v>5</v>
      </c>
      <c r="R129" s="96">
        <f t="shared" si="34"/>
        <v>20</v>
      </c>
      <c r="S129" s="97">
        <v>550</v>
      </c>
      <c r="T129" s="98">
        <f t="shared" si="18"/>
        <v>11000</v>
      </c>
      <c r="U129" s="99">
        <v>0</v>
      </c>
      <c r="V129" s="100">
        <f t="shared" si="19"/>
        <v>0</v>
      </c>
      <c r="W129" s="101"/>
      <c r="X129" s="102"/>
      <c r="Y129" s="103"/>
      <c r="Z129" s="103"/>
      <c r="AA129" s="99">
        <v>0</v>
      </c>
      <c r="AB129" s="100">
        <f t="shared" si="20"/>
        <v>0</v>
      </c>
      <c r="AC129" s="104"/>
      <c r="AD129" s="105"/>
      <c r="AE129" s="105"/>
      <c r="AF129" s="105"/>
      <c r="AG129" s="99">
        <v>10</v>
      </c>
      <c r="AH129" s="100">
        <f t="shared" si="21"/>
        <v>5500</v>
      </c>
      <c r="AI129" s="106">
        <v>10</v>
      </c>
      <c r="AJ129" s="107" t="s">
        <v>249</v>
      </c>
      <c r="AK129" s="107">
        <v>500</v>
      </c>
      <c r="AL129" s="107">
        <f>AK129*AI129</f>
        <v>5000</v>
      </c>
      <c r="AM129" s="99">
        <v>10</v>
      </c>
      <c r="AN129" s="100">
        <f t="shared" si="22"/>
        <v>5500</v>
      </c>
      <c r="AO129" s="108">
        <f t="shared" si="23"/>
        <v>20</v>
      </c>
      <c r="AP129" s="308">
        <f t="shared" si="24"/>
        <v>5000</v>
      </c>
    </row>
    <row r="130" spans="1:50" ht="20.45" customHeight="1">
      <c r="A130" s="85" t="s">
        <v>351</v>
      </c>
      <c r="B130" s="86">
        <v>67</v>
      </c>
      <c r="C130" s="87" t="s">
        <v>352</v>
      </c>
      <c r="D130" s="88">
        <v>266371</v>
      </c>
      <c r="E130" s="88"/>
      <c r="F130" s="89" t="s">
        <v>353</v>
      </c>
      <c r="G130" s="109" t="s">
        <v>354</v>
      </c>
      <c r="H130" s="109"/>
      <c r="I130" s="91">
        <v>1</v>
      </c>
      <c r="J130" s="92" t="s">
        <v>83</v>
      </c>
      <c r="K130" s="93">
        <v>1000</v>
      </c>
      <c r="L130" s="93" t="s">
        <v>84</v>
      </c>
      <c r="M130" s="116">
        <f>22/10*12</f>
        <v>26.400000000000002</v>
      </c>
      <c r="N130" s="116">
        <f>22/9*12</f>
        <v>29.333333333333336</v>
      </c>
      <c r="O130" s="116">
        <v>22</v>
      </c>
      <c r="P130" s="94">
        <v>22</v>
      </c>
      <c r="Q130" s="95">
        <v>2</v>
      </c>
      <c r="R130" s="96">
        <f t="shared" si="34"/>
        <v>20</v>
      </c>
      <c r="S130" s="137">
        <v>700</v>
      </c>
      <c r="T130" s="98">
        <f t="shared" si="18"/>
        <v>14000</v>
      </c>
      <c r="U130" s="99">
        <v>5</v>
      </c>
      <c r="V130" s="100">
        <f t="shared" si="19"/>
        <v>3500</v>
      </c>
      <c r="W130" s="101">
        <v>5</v>
      </c>
      <c r="X130" s="102" t="s">
        <v>61</v>
      </c>
      <c r="Y130" s="103">
        <f>245*2</f>
        <v>490</v>
      </c>
      <c r="Z130" s="103">
        <f t="shared" ref="Z130:Z136" si="35">Y130*W130</f>
        <v>2450</v>
      </c>
      <c r="AA130" s="99">
        <v>5</v>
      </c>
      <c r="AB130" s="100">
        <f t="shared" si="20"/>
        <v>3500</v>
      </c>
      <c r="AC130" s="104">
        <v>5</v>
      </c>
      <c r="AD130" s="105" t="s">
        <v>61</v>
      </c>
      <c r="AE130" s="105">
        <v>490</v>
      </c>
      <c r="AF130" s="105">
        <f t="shared" ref="AF130:AF135" si="36">AE130*AC130</f>
        <v>2450</v>
      </c>
      <c r="AG130" s="99">
        <v>5</v>
      </c>
      <c r="AH130" s="100">
        <f t="shared" si="21"/>
        <v>3500</v>
      </c>
      <c r="AI130" s="106">
        <v>5</v>
      </c>
      <c r="AJ130" s="107" t="s">
        <v>61</v>
      </c>
      <c r="AK130" s="107">
        <v>490</v>
      </c>
      <c r="AL130" s="107">
        <f>AK130*AI130</f>
        <v>2450</v>
      </c>
      <c r="AM130" s="99">
        <v>5</v>
      </c>
      <c r="AN130" s="100">
        <f t="shared" si="22"/>
        <v>3500</v>
      </c>
      <c r="AO130" s="108">
        <f t="shared" si="23"/>
        <v>20</v>
      </c>
      <c r="AP130" s="308">
        <f t="shared" si="24"/>
        <v>7350</v>
      </c>
    </row>
    <row r="131" spans="1:50" ht="20.45" customHeight="1">
      <c r="A131" s="85" t="s">
        <v>355</v>
      </c>
      <c r="B131" s="86">
        <v>68</v>
      </c>
      <c r="C131" s="87" t="s">
        <v>356</v>
      </c>
      <c r="D131" s="88">
        <v>229782</v>
      </c>
      <c r="E131" s="88"/>
      <c r="F131" s="89" t="s">
        <v>357</v>
      </c>
      <c r="G131" s="109" t="s">
        <v>358</v>
      </c>
      <c r="H131" s="109" t="s">
        <v>110</v>
      </c>
      <c r="I131" s="91">
        <v>1</v>
      </c>
      <c r="J131" s="92" t="s">
        <v>184</v>
      </c>
      <c r="K131" s="93">
        <v>1000</v>
      </c>
      <c r="L131" s="93" t="s">
        <v>185</v>
      </c>
      <c r="M131" s="116">
        <f>5.4*12/10</f>
        <v>6.4800000000000013</v>
      </c>
      <c r="N131" s="116">
        <f>6.3/9*12</f>
        <v>8.3999999999999986</v>
      </c>
      <c r="O131" s="116">
        <v>8.1333333333333329</v>
      </c>
      <c r="P131" s="94">
        <v>8</v>
      </c>
      <c r="Q131" s="95">
        <v>2</v>
      </c>
      <c r="R131" s="96">
        <f t="shared" si="34"/>
        <v>6</v>
      </c>
      <c r="S131" s="131">
        <v>1800</v>
      </c>
      <c r="T131" s="98">
        <f t="shared" si="18"/>
        <v>10800</v>
      </c>
      <c r="U131" s="99">
        <v>0</v>
      </c>
      <c r="V131" s="100">
        <f t="shared" si="19"/>
        <v>0</v>
      </c>
      <c r="W131" s="101"/>
      <c r="X131" s="102"/>
      <c r="Y131" s="103"/>
      <c r="Z131" s="103">
        <f t="shared" si="35"/>
        <v>0</v>
      </c>
      <c r="AA131" s="99">
        <v>0</v>
      </c>
      <c r="AB131" s="100">
        <f t="shared" si="20"/>
        <v>0</v>
      </c>
      <c r="AC131" s="104"/>
      <c r="AD131" s="105"/>
      <c r="AE131" s="105"/>
      <c r="AF131" s="105">
        <f t="shared" si="36"/>
        <v>0</v>
      </c>
      <c r="AG131" s="99">
        <v>3</v>
      </c>
      <c r="AH131" s="100">
        <f t="shared" si="21"/>
        <v>5400</v>
      </c>
      <c r="AI131" s="106">
        <v>3</v>
      </c>
      <c r="AJ131" s="107" t="s">
        <v>110</v>
      </c>
      <c r="AK131" s="107">
        <v>1700</v>
      </c>
      <c r="AL131" s="107">
        <f>AK131*AI131</f>
        <v>5100</v>
      </c>
      <c r="AM131" s="99">
        <v>3</v>
      </c>
      <c r="AN131" s="100">
        <f t="shared" si="22"/>
        <v>5400</v>
      </c>
      <c r="AO131" s="108">
        <f t="shared" si="23"/>
        <v>6</v>
      </c>
      <c r="AP131" s="308">
        <f t="shared" si="24"/>
        <v>5100</v>
      </c>
    </row>
    <row r="132" spans="1:50" ht="20.45" customHeight="1">
      <c r="A132" s="85" t="s">
        <v>359</v>
      </c>
      <c r="B132" s="86">
        <v>69</v>
      </c>
      <c r="C132" s="87" t="s">
        <v>360</v>
      </c>
      <c r="D132" s="88">
        <v>1027852</v>
      </c>
      <c r="E132" s="88"/>
      <c r="F132" s="89" t="s">
        <v>361</v>
      </c>
      <c r="G132" s="109" t="s">
        <v>362</v>
      </c>
      <c r="H132" s="109"/>
      <c r="I132" s="91">
        <v>1</v>
      </c>
      <c r="J132" s="92" t="s">
        <v>88</v>
      </c>
      <c r="K132" s="93">
        <v>1</v>
      </c>
      <c r="L132" s="93" t="s">
        <v>73</v>
      </c>
      <c r="M132" s="116">
        <f>8975/10*12</f>
        <v>10770</v>
      </c>
      <c r="N132" s="116">
        <f>10275/9*12</f>
        <v>13700</v>
      </c>
      <c r="O132" s="116">
        <v>15140</v>
      </c>
      <c r="P132" s="94">
        <v>15560</v>
      </c>
      <c r="Q132" s="95">
        <v>560</v>
      </c>
      <c r="R132" s="132">
        <v>12000</v>
      </c>
      <c r="S132" s="131">
        <v>26</v>
      </c>
      <c r="T132" s="98">
        <f t="shared" si="18"/>
        <v>312000</v>
      </c>
      <c r="U132" s="99">
        <v>4000</v>
      </c>
      <c r="V132" s="100">
        <f t="shared" si="19"/>
        <v>104000</v>
      </c>
      <c r="W132" s="101">
        <v>4000</v>
      </c>
      <c r="X132" s="102" t="s">
        <v>363</v>
      </c>
      <c r="Y132" s="103">
        <v>19</v>
      </c>
      <c r="Z132" s="103">
        <f t="shared" si="35"/>
        <v>76000</v>
      </c>
      <c r="AA132" s="99">
        <v>0</v>
      </c>
      <c r="AB132" s="100">
        <f t="shared" si="20"/>
        <v>0</v>
      </c>
      <c r="AC132" s="104"/>
      <c r="AD132" s="105"/>
      <c r="AE132" s="105"/>
      <c r="AF132" s="105">
        <f t="shared" si="36"/>
        <v>0</v>
      </c>
      <c r="AG132" s="99">
        <v>4000</v>
      </c>
      <c r="AH132" s="100">
        <f t="shared" si="21"/>
        <v>104000</v>
      </c>
      <c r="AI132" s="106">
        <v>4000</v>
      </c>
      <c r="AJ132" s="107" t="s">
        <v>363</v>
      </c>
      <c r="AK132" s="107">
        <v>19</v>
      </c>
      <c r="AL132" s="107">
        <f>AK132*AI132</f>
        <v>76000</v>
      </c>
      <c r="AM132" s="99">
        <v>4000</v>
      </c>
      <c r="AN132" s="100">
        <f t="shared" si="22"/>
        <v>104000</v>
      </c>
      <c r="AO132" s="108">
        <f t="shared" si="23"/>
        <v>12000</v>
      </c>
      <c r="AP132" s="308">
        <f t="shared" si="24"/>
        <v>152000</v>
      </c>
    </row>
    <row r="133" spans="1:50" ht="20.45" customHeight="1">
      <c r="A133" s="85" t="s">
        <v>364</v>
      </c>
      <c r="B133" s="86">
        <v>70</v>
      </c>
      <c r="C133" s="87" t="s">
        <v>365</v>
      </c>
      <c r="D133" s="88">
        <v>245812</v>
      </c>
      <c r="E133" s="88"/>
      <c r="F133" s="89" t="s">
        <v>366</v>
      </c>
      <c r="G133" s="113" t="s">
        <v>367</v>
      </c>
      <c r="H133" s="113"/>
      <c r="I133" s="114">
        <v>1</v>
      </c>
      <c r="J133" s="118" t="s">
        <v>83</v>
      </c>
      <c r="K133" s="115">
        <v>1000</v>
      </c>
      <c r="L133" s="115" t="s">
        <v>84</v>
      </c>
      <c r="M133" s="116">
        <f>52/10*12</f>
        <v>62.400000000000006</v>
      </c>
      <c r="N133" s="116">
        <f>47/9*12</f>
        <v>62.666666666666671</v>
      </c>
      <c r="O133" s="116">
        <v>59.333333333333336</v>
      </c>
      <c r="P133" s="94">
        <v>57</v>
      </c>
      <c r="Q133" s="95">
        <v>7</v>
      </c>
      <c r="R133" s="96">
        <f>P133-Q133</f>
        <v>50</v>
      </c>
      <c r="S133" s="97">
        <v>500.12</v>
      </c>
      <c r="T133" s="98">
        <f t="shared" si="18"/>
        <v>25006</v>
      </c>
      <c r="U133" s="138">
        <v>15</v>
      </c>
      <c r="V133" s="100">
        <f t="shared" si="19"/>
        <v>7501.8</v>
      </c>
      <c r="W133" s="101">
        <v>15</v>
      </c>
      <c r="X133" s="102" t="s">
        <v>249</v>
      </c>
      <c r="Y133" s="103">
        <f>2*195</f>
        <v>390</v>
      </c>
      <c r="Z133" s="103">
        <f t="shared" si="35"/>
        <v>5850</v>
      </c>
      <c r="AA133" s="138">
        <v>10</v>
      </c>
      <c r="AB133" s="100">
        <f t="shared" si="20"/>
        <v>5001.2</v>
      </c>
      <c r="AC133" s="104">
        <f>15+10</f>
        <v>25</v>
      </c>
      <c r="AD133" s="105" t="s">
        <v>249</v>
      </c>
      <c r="AE133" s="105">
        <f>2*195</f>
        <v>390</v>
      </c>
      <c r="AF133" s="105">
        <f t="shared" si="36"/>
        <v>9750</v>
      </c>
      <c r="AG133" s="99">
        <v>15</v>
      </c>
      <c r="AH133" s="100">
        <f t="shared" si="21"/>
        <v>7501.8</v>
      </c>
      <c r="AI133" s="106"/>
      <c r="AJ133" s="107"/>
      <c r="AK133" s="107"/>
      <c r="AL133" s="107"/>
      <c r="AM133" s="99">
        <v>10</v>
      </c>
      <c r="AN133" s="100">
        <f t="shared" si="22"/>
        <v>5001.2</v>
      </c>
      <c r="AO133" s="108">
        <f t="shared" si="23"/>
        <v>50</v>
      </c>
      <c r="AP133" s="308">
        <f t="shared" si="24"/>
        <v>15600</v>
      </c>
    </row>
    <row r="134" spans="1:50" ht="20.45" customHeight="1">
      <c r="A134" s="85" t="s">
        <v>368</v>
      </c>
      <c r="B134" s="86">
        <v>71</v>
      </c>
      <c r="C134" s="87">
        <v>1248903</v>
      </c>
      <c r="D134" s="141">
        <v>287627</v>
      </c>
      <c r="E134" s="141"/>
      <c r="F134" s="117" t="s">
        <v>369</v>
      </c>
      <c r="G134" s="113" t="s">
        <v>370</v>
      </c>
      <c r="H134" s="113"/>
      <c r="I134" s="114">
        <v>1</v>
      </c>
      <c r="J134" s="118" t="s">
        <v>83</v>
      </c>
      <c r="K134" s="115">
        <v>1000</v>
      </c>
      <c r="L134" s="115" t="s">
        <v>84</v>
      </c>
      <c r="M134" s="116">
        <v>0</v>
      </c>
      <c r="N134" s="116">
        <f>4/9*12</f>
        <v>5.333333333333333</v>
      </c>
      <c r="O134" s="116">
        <v>6.666666666666667</v>
      </c>
      <c r="P134" s="94">
        <v>7</v>
      </c>
      <c r="Q134" s="95">
        <v>2</v>
      </c>
      <c r="R134" s="96">
        <f>P134-Q134</f>
        <v>5</v>
      </c>
      <c r="S134" s="137">
        <v>800</v>
      </c>
      <c r="T134" s="98">
        <f t="shared" si="18"/>
        <v>4000</v>
      </c>
      <c r="U134" s="111">
        <v>5</v>
      </c>
      <c r="V134" s="100">
        <f t="shared" si="19"/>
        <v>4000</v>
      </c>
      <c r="W134" s="101">
        <v>5</v>
      </c>
      <c r="X134" s="102" t="s">
        <v>122</v>
      </c>
      <c r="Y134" s="103">
        <f>2*375</f>
        <v>750</v>
      </c>
      <c r="Z134" s="103">
        <f t="shared" si="35"/>
        <v>3750</v>
      </c>
      <c r="AA134" s="138">
        <v>0</v>
      </c>
      <c r="AB134" s="100">
        <f t="shared" si="20"/>
        <v>0</v>
      </c>
      <c r="AC134" s="104"/>
      <c r="AD134" s="105"/>
      <c r="AE134" s="105"/>
      <c r="AF134" s="105">
        <f t="shared" si="36"/>
        <v>0</v>
      </c>
      <c r="AG134" s="99">
        <v>0</v>
      </c>
      <c r="AH134" s="100">
        <f t="shared" si="21"/>
        <v>0</v>
      </c>
      <c r="AI134" s="106"/>
      <c r="AJ134" s="107"/>
      <c r="AK134" s="107"/>
      <c r="AL134" s="107"/>
      <c r="AM134" s="99">
        <v>0</v>
      </c>
      <c r="AN134" s="100">
        <f t="shared" si="22"/>
        <v>0</v>
      </c>
      <c r="AO134" s="108">
        <f t="shared" si="23"/>
        <v>5</v>
      </c>
      <c r="AP134" s="308">
        <f t="shared" si="24"/>
        <v>3750</v>
      </c>
    </row>
    <row r="135" spans="1:50" ht="20.45" customHeight="1">
      <c r="A135" s="85" t="s">
        <v>375</v>
      </c>
      <c r="B135" s="86">
        <v>73</v>
      </c>
      <c r="C135" s="87" t="s">
        <v>376</v>
      </c>
      <c r="D135" s="88">
        <v>532636</v>
      </c>
      <c r="E135" s="88"/>
      <c r="F135" s="89" t="s">
        <v>377</v>
      </c>
      <c r="G135" s="109" t="s">
        <v>378</v>
      </c>
      <c r="H135" s="109"/>
      <c r="I135" s="91">
        <v>1</v>
      </c>
      <c r="J135" s="92" t="s">
        <v>184</v>
      </c>
      <c r="K135" s="93">
        <v>1000</v>
      </c>
      <c r="L135" s="93" t="s">
        <v>185</v>
      </c>
      <c r="M135" s="116">
        <f>33/10*12</f>
        <v>39.599999999999994</v>
      </c>
      <c r="N135" s="116">
        <f>27.5/9*12</f>
        <v>36.666666666666664</v>
      </c>
      <c r="O135" s="116">
        <v>39.666666666666664</v>
      </c>
      <c r="P135" s="94">
        <v>40</v>
      </c>
      <c r="Q135" s="95">
        <v>0</v>
      </c>
      <c r="R135" s="96">
        <f>P135-Q135</f>
        <v>40</v>
      </c>
      <c r="S135" s="97">
        <v>620</v>
      </c>
      <c r="T135" s="98">
        <f t="shared" si="18"/>
        <v>24800</v>
      </c>
      <c r="U135" s="111">
        <v>20</v>
      </c>
      <c r="V135" s="100">
        <f t="shared" si="19"/>
        <v>12400</v>
      </c>
      <c r="W135" s="101">
        <f>2*10</f>
        <v>20</v>
      </c>
      <c r="X135" s="102" t="s">
        <v>249</v>
      </c>
      <c r="Y135" s="103">
        <v>560</v>
      </c>
      <c r="Z135" s="103">
        <f t="shared" si="35"/>
        <v>11200</v>
      </c>
      <c r="AA135" s="99">
        <v>10</v>
      </c>
      <c r="AB135" s="100">
        <f t="shared" si="20"/>
        <v>6200</v>
      </c>
      <c r="AC135" s="104">
        <v>10</v>
      </c>
      <c r="AD135" s="105" t="s">
        <v>249</v>
      </c>
      <c r="AE135" s="105">
        <v>560</v>
      </c>
      <c r="AF135" s="105">
        <f t="shared" si="36"/>
        <v>5600</v>
      </c>
      <c r="AG135" s="99">
        <v>0</v>
      </c>
      <c r="AH135" s="100">
        <f t="shared" si="21"/>
        <v>0</v>
      </c>
      <c r="AI135" s="106"/>
      <c r="AJ135" s="107"/>
      <c r="AK135" s="107"/>
      <c r="AL135" s="107"/>
      <c r="AM135" s="99">
        <v>10</v>
      </c>
      <c r="AN135" s="100">
        <f t="shared" si="22"/>
        <v>6200</v>
      </c>
      <c r="AO135" s="108">
        <f t="shared" si="23"/>
        <v>40</v>
      </c>
      <c r="AP135" s="308">
        <f t="shared" si="24"/>
        <v>16800</v>
      </c>
      <c r="AT135" s="143"/>
      <c r="AU135" s="143"/>
      <c r="AV135" s="143"/>
      <c r="AW135" s="143"/>
      <c r="AX135" s="143"/>
    </row>
    <row r="136" spans="1:50" ht="20.45" customHeight="1">
      <c r="A136" s="85" t="s">
        <v>379</v>
      </c>
      <c r="B136" s="86">
        <v>74</v>
      </c>
      <c r="C136" s="87" t="s">
        <v>380</v>
      </c>
      <c r="D136" s="88">
        <v>495562</v>
      </c>
      <c r="E136" s="88"/>
      <c r="F136" s="89" t="s">
        <v>381</v>
      </c>
      <c r="G136" s="109" t="s">
        <v>382</v>
      </c>
      <c r="H136" s="109"/>
      <c r="I136" s="91">
        <v>1</v>
      </c>
      <c r="J136" s="92" t="s">
        <v>266</v>
      </c>
      <c r="K136" s="93">
        <v>1</v>
      </c>
      <c r="L136" s="93" t="s">
        <v>267</v>
      </c>
      <c r="M136" s="116">
        <f>1534/10*12</f>
        <v>1840.8000000000002</v>
      </c>
      <c r="N136" s="116">
        <f>1239/9*12</f>
        <v>1652</v>
      </c>
      <c r="O136" s="116">
        <v>1954.6666666666667</v>
      </c>
      <c r="P136" s="94">
        <v>2000</v>
      </c>
      <c r="Q136" s="95">
        <v>200</v>
      </c>
      <c r="R136" s="132">
        <v>1920</v>
      </c>
      <c r="S136" s="110">
        <v>7</v>
      </c>
      <c r="T136" s="98">
        <f t="shared" ref="T136:T199" si="37">S136*R136</f>
        <v>13440</v>
      </c>
      <c r="U136" s="99">
        <v>960</v>
      </c>
      <c r="V136" s="100">
        <f t="shared" ref="V136:V199" si="38">U136*S136</f>
        <v>6720</v>
      </c>
      <c r="W136" s="101">
        <f>2*480</f>
        <v>960</v>
      </c>
      <c r="X136" s="102" t="s">
        <v>232</v>
      </c>
      <c r="Y136" s="103">
        <f>62/12</f>
        <v>5.166666666666667</v>
      </c>
      <c r="Z136" s="103">
        <f t="shared" si="35"/>
        <v>4960</v>
      </c>
      <c r="AA136" s="99">
        <v>0</v>
      </c>
      <c r="AB136" s="100">
        <f t="shared" ref="AB136:AB199" si="39">AA136*S136</f>
        <v>0</v>
      </c>
      <c r="AC136" s="104"/>
      <c r="AD136" s="105"/>
      <c r="AE136" s="105"/>
      <c r="AF136" s="105"/>
      <c r="AG136" s="99">
        <v>480</v>
      </c>
      <c r="AH136" s="100">
        <f t="shared" ref="AH136:AH199" si="40">S136*AG136</f>
        <v>3360</v>
      </c>
      <c r="AI136" s="106">
        <v>480</v>
      </c>
      <c r="AJ136" s="107" t="s">
        <v>232</v>
      </c>
      <c r="AK136" s="107">
        <f>62/12</f>
        <v>5.166666666666667</v>
      </c>
      <c r="AL136" s="107">
        <f>AK136*AI136</f>
        <v>2480</v>
      </c>
      <c r="AM136" s="99">
        <v>480</v>
      </c>
      <c r="AN136" s="100">
        <f t="shared" ref="AN136:AN199" si="41">S136*AM136</f>
        <v>3360</v>
      </c>
      <c r="AO136" s="108">
        <f t="shared" ref="AO136:AO199" si="42">U136+AA136+AG136+AM136</f>
        <v>1920</v>
      </c>
      <c r="AP136" s="308">
        <f t="shared" si="24"/>
        <v>7440</v>
      </c>
    </row>
    <row r="137" spans="1:50" ht="20.45" customHeight="1">
      <c r="A137" s="85" t="s">
        <v>383</v>
      </c>
      <c r="B137" s="86">
        <v>75</v>
      </c>
      <c r="C137" s="87" t="s">
        <v>384</v>
      </c>
      <c r="D137" s="88">
        <v>270485</v>
      </c>
      <c r="E137" s="88"/>
      <c r="F137" s="89" t="s">
        <v>385</v>
      </c>
      <c r="G137" s="109" t="s">
        <v>386</v>
      </c>
      <c r="H137" s="109"/>
      <c r="I137" s="91">
        <v>1</v>
      </c>
      <c r="J137" s="92" t="s">
        <v>83</v>
      </c>
      <c r="K137" s="93">
        <v>100</v>
      </c>
      <c r="L137" s="93" t="s">
        <v>84</v>
      </c>
      <c r="M137" s="116">
        <v>5</v>
      </c>
      <c r="N137" s="116">
        <v>0</v>
      </c>
      <c r="O137" s="116">
        <v>0</v>
      </c>
      <c r="P137" s="94">
        <v>5</v>
      </c>
      <c r="Q137" s="95">
        <v>5</v>
      </c>
      <c r="R137" s="132">
        <v>5</v>
      </c>
      <c r="S137" s="97">
        <v>70</v>
      </c>
      <c r="T137" s="98">
        <f t="shared" si="37"/>
        <v>350</v>
      </c>
      <c r="U137" s="99">
        <v>0</v>
      </c>
      <c r="V137" s="100">
        <f t="shared" si="38"/>
        <v>0</v>
      </c>
      <c r="W137" s="101"/>
      <c r="X137" s="102"/>
      <c r="Y137" s="103"/>
      <c r="Z137" s="103"/>
      <c r="AA137" s="99">
        <v>5</v>
      </c>
      <c r="AB137" s="100">
        <f t="shared" si="39"/>
        <v>350</v>
      </c>
      <c r="AC137" s="104">
        <v>5</v>
      </c>
      <c r="AD137" s="105" t="s">
        <v>147</v>
      </c>
      <c r="AE137" s="105">
        <f>300/5</f>
        <v>60</v>
      </c>
      <c r="AF137" s="105">
        <f>AE137*AC137</f>
        <v>300</v>
      </c>
      <c r="AG137" s="99">
        <v>0</v>
      </c>
      <c r="AH137" s="100">
        <f t="shared" si="40"/>
        <v>0</v>
      </c>
      <c r="AI137" s="106"/>
      <c r="AJ137" s="107"/>
      <c r="AK137" s="107"/>
      <c r="AL137" s="107"/>
      <c r="AM137" s="99">
        <v>0</v>
      </c>
      <c r="AN137" s="100">
        <f t="shared" si="41"/>
        <v>0</v>
      </c>
      <c r="AO137" s="108">
        <f t="shared" si="42"/>
        <v>5</v>
      </c>
      <c r="AP137" s="308">
        <f t="shared" ref="AP137:AP200" si="43">Z137+AF137+AL137</f>
        <v>300</v>
      </c>
    </row>
    <row r="138" spans="1:50" ht="20.45" customHeight="1">
      <c r="A138" s="85" t="s">
        <v>387</v>
      </c>
      <c r="B138" s="86">
        <v>76</v>
      </c>
      <c r="C138" s="87" t="s">
        <v>388</v>
      </c>
      <c r="D138" s="88">
        <v>270733</v>
      </c>
      <c r="E138" s="88"/>
      <c r="F138" s="89" t="s">
        <v>389</v>
      </c>
      <c r="G138" s="109" t="s">
        <v>390</v>
      </c>
      <c r="H138" s="109"/>
      <c r="I138" s="91">
        <v>1</v>
      </c>
      <c r="J138" s="92" t="s">
        <v>391</v>
      </c>
      <c r="K138" s="93">
        <v>6</v>
      </c>
      <c r="L138" s="93" t="s">
        <v>84</v>
      </c>
      <c r="M138" s="116">
        <f>1254/6*12/10</f>
        <v>250.8</v>
      </c>
      <c r="N138" s="116">
        <f>74/9*12</f>
        <v>98.666666666666657</v>
      </c>
      <c r="O138" s="116">
        <v>173.33333333333334</v>
      </c>
      <c r="P138" s="94">
        <v>170</v>
      </c>
      <c r="Q138" s="95">
        <v>70</v>
      </c>
      <c r="R138" s="96">
        <f>P138-Q138</f>
        <v>100</v>
      </c>
      <c r="S138" s="97">
        <v>11.040000000000001</v>
      </c>
      <c r="T138" s="98">
        <f t="shared" si="37"/>
        <v>1104</v>
      </c>
      <c r="U138" s="99">
        <v>0</v>
      </c>
      <c r="V138" s="100">
        <f t="shared" si="38"/>
        <v>0</v>
      </c>
      <c r="W138" s="101"/>
      <c r="X138" s="102"/>
      <c r="Y138" s="103"/>
      <c r="Z138" s="103"/>
      <c r="AA138" s="99">
        <v>100</v>
      </c>
      <c r="AB138" s="100">
        <f t="shared" si="39"/>
        <v>1104</v>
      </c>
      <c r="AC138" s="104">
        <v>100</v>
      </c>
      <c r="AD138" s="105" t="s">
        <v>122</v>
      </c>
      <c r="AE138" s="105">
        <v>10</v>
      </c>
      <c r="AF138" s="105">
        <f>AE138*AC138</f>
        <v>1000</v>
      </c>
      <c r="AG138" s="99">
        <v>0</v>
      </c>
      <c r="AH138" s="100">
        <f t="shared" si="40"/>
        <v>0</v>
      </c>
      <c r="AI138" s="106"/>
      <c r="AJ138" s="107"/>
      <c r="AK138" s="107"/>
      <c r="AL138" s="107"/>
      <c r="AM138" s="99">
        <v>0</v>
      </c>
      <c r="AN138" s="100">
        <f t="shared" si="41"/>
        <v>0</v>
      </c>
      <c r="AO138" s="108">
        <f t="shared" si="42"/>
        <v>100</v>
      </c>
      <c r="AP138" s="308">
        <f t="shared" si="43"/>
        <v>1000</v>
      </c>
    </row>
    <row r="139" spans="1:50" ht="20.45" customHeight="1">
      <c r="A139" s="85" t="s">
        <v>392</v>
      </c>
      <c r="B139" s="86">
        <v>77</v>
      </c>
      <c r="C139" s="87" t="s">
        <v>393</v>
      </c>
      <c r="D139" s="88">
        <v>554401</v>
      </c>
      <c r="E139" s="88"/>
      <c r="F139" s="89" t="s">
        <v>394</v>
      </c>
      <c r="G139" s="144" t="s">
        <v>395</v>
      </c>
      <c r="H139" s="144"/>
      <c r="I139" s="91">
        <v>1</v>
      </c>
      <c r="J139" s="92" t="s">
        <v>88</v>
      </c>
      <c r="K139" s="93">
        <v>1</v>
      </c>
      <c r="L139" s="93" t="s">
        <v>202</v>
      </c>
      <c r="M139" s="116">
        <f>1300/10*12</f>
        <v>1560</v>
      </c>
      <c r="N139" s="116">
        <f>900/9*12</f>
        <v>1200</v>
      </c>
      <c r="O139" s="116">
        <v>1266.6666666666667</v>
      </c>
      <c r="P139" s="94">
        <v>1300</v>
      </c>
      <c r="Q139" s="95">
        <v>200</v>
      </c>
      <c r="R139" s="132">
        <v>600</v>
      </c>
      <c r="S139" s="97">
        <v>18.190000000000001</v>
      </c>
      <c r="T139" s="98">
        <f t="shared" si="37"/>
        <v>10914</v>
      </c>
      <c r="U139" s="99">
        <v>0</v>
      </c>
      <c r="V139" s="100">
        <f t="shared" si="38"/>
        <v>0</v>
      </c>
      <c r="W139" s="101"/>
      <c r="X139" s="102"/>
      <c r="Y139" s="103"/>
      <c r="Z139" s="103"/>
      <c r="AA139" s="99">
        <v>0</v>
      </c>
      <c r="AB139" s="100">
        <f t="shared" si="39"/>
        <v>0</v>
      </c>
      <c r="AC139" s="104"/>
      <c r="AD139" s="105"/>
      <c r="AE139" s="105"/>
      <c r="AF139" s="105">
        <f>AE139*AC139</f>
        <v>0</v>
      </c>
      <c r="AG139" s="99">
        <v>300</v>
      </c>
      <c r="AH139" s="100">
        <f t="shared" si="40"/>
        <v>5457</v>
      </c>
      <c r="AI139" s="106"/>
      <c r="AJ139" s="107"/>
      <c r="AK139" s="107"/>
      <c r="AL139" s="107"/>
      <c r="AM139" s="99">
        <v>300</v>
      </c>
      <c r="AN139" s="100">
        <f t="shared" si="41"/>
        <v>5457</v>
      </c>
      <c r="AO139" s="108">
        <f t="shared" si="42"/>
        <v>600</v>
      </c>
      <c r="AP139" s="308">
        <f t="shared" si="43"/>
        <v>0</v>
      </c>
    </row>
    <row r="140" spans="1:50" ht="20.45" customHeight="1">
      <c r="A140" s="85" t="s">
        <v>396</v>
      </c>
      <c r="B140" s="86">
        <v>78</v>
      </c>
      <c r="C140" s="87" t="s">
        <v>397</v>
      </c>
      <c r="D140" s="88">
        <v>287731</v>
      </c>
      <c r="E140" s="88"/>
      <c r="F140" s="89" t="s">
        <v>398</v>
      </c>
      <c r="G140" s="109" t="s">
        <v>399</v>
      </c>
      <c r="H140" s="109"/>
      <c r="I140" s="91">
        <v>1</v>
      </c>
      <c r="J140" s="92" t="s">
        <v>83</v>
      </c>
      <c r="K140" s="93">
        <v>1000</v>
      </c>
      <c r="L140" s="93" t="s">
        <v>84</v>
      </c>
      <c r="M140" s="116">
        <f>16.5/10*12</f>
        <v>19.799999999999997</v>
      </c>
      <c r="N140" s="116">
        <f>12.8/9*12</f>
        <v>17.066666666666666</v>
      </c>
      <c r="O140" s="116">
        <v>16.93333333333333</v>
      </c>
      <c r="P140" s="94">
        <v>17</v>
      </c>
      <c r="Q140" s="95">
        <v>0</v>
      </c>
      <c r="R140" s="132">
        <v>15</v>
      </c>
      <c r="S140" s="131">
        <v>1300</v>
      </c>
      <c r="T140" s="98">
        <f t="shared" si="37"/>
        <v>19500</v>
      </c>
      <c r="U140" s="99">
        <v>5</v>
      </c>
      <c r="V140" s="100">
        <f t="shared" si="38"/>
        <v>6500</v>
      </c>
      <c r="W140" s="101">
        <v>5</v>
      </c>
      <c r="X140" s="102" t="s">
        <v>342</v>
      </c>
      <c r="Y140" s="103">
        <v>1280</v>
      </c>
      <c r="Z140" s="103">
        <f>Y140*W140</f>
        <v>6400</v>
      </c>
      <c r="AA140" s="99"/>
      <c r="AB140" s="100">
        <f t="shared" si="39"/>
        <v>0</v>
      </c>
      <c r="AC140" s="104">
        <v>10</v>
      </c>
      <c r="AD140" s="105" t="s">
        <v>342</v>
      </c>
      <c r="AE140" s="105">
        <v>1280</v>
      </c>
      <c r="AF140" s="105">
        <f>AE140*AC140</f>
        <v>12800</v>
      </c>
      <c r="AG140" s="99">
        <v>5</v>
      </c>
      <c r="AH140" s="100">
        <f t="shared" si="40"/>
        <v>6500</v>
      </c>
      <c r="AI140" s="106"/>
      <c r="AJ140" s="107"/>
      <c r="AK140" s="107"/>
      <c r="AL140" s="107"/>
      <c r="AM140" s="99">
        <v>5</v>
      </c>
      <c r="AN140" s="100">
        <f t="shared" si="41"/>
        <v>6500</v>
      </c>
      <c r="AO140" s="108">
        <f t="shared" si="42"/>
        <v>15</v>
      </c>
      <c r="AP140" s="308">
        <f t="shared" si="43"/>
        <v>19200</v>
      </c>
    </row>
    <row r="141" spans="1:50" ht="20.45" customHeight="1">
      <c r="A141" s="85" t="s">
        <v>400</v>
      </c>
      <c r="B141" s="86">
        <v>79</v>
      </c>
      <c r="C141" s="87" t="s">
        <v>401</v>
      </c>
      <c r="D141" s="88">
        <v>287783</v>
      </c>
      <c r="E141" s="88"/>
      <c r="F141" s="89" t="s">
        <v>402</v>
      </c>
      <c r="G141" s="109" t="s">
        <v>403</v>
      </c>
      <c r="H141" s="109"/>
      <c r="I141" s="91">
        <v>1</v>
      </c>
      <c r="J141" s="92" t="s">
        <v>83</v>
      </c>
      <c r="K141" s="93">
        <v>1000</v>
      </c>
      <c r="L141" s="93" t="s">
        <v>84</v>
      </c>
      <c r="M141" s="116">
        <f>6.4/10*12</f>
        <v>7.68</v>
      </c>
      <c r="N141" s="116">
        <f>4.2/9*12</f>
        <v>5.6</v>
      </c>
      <c r="O141" s="116">
        <v>7.7333333333333325</v>
      </c>
      <c r="P141" s="94">
        <v>8</v>
      </c>
      <c r="Q141" s="95">
        <v>0</v>
      </c>
      <c r="R141" s="112">
        <v>12</v>
      </c>
      <c r="S141" s="131">
        <v>720</v>
      </c>
      <c r="T141" s="98">
        <f t="shared" si="37"/>
        <v>8640</v>
      </c>
      <c r="U141" s="111">
        <v>4</v>
      </c>
      <c r="V141" s="100">
        <f t="shared" si="38"/>
        <v>2880</v>
      </c>
      <c r="W141" s="101">
        <v>4</v>
      </c>
      <c r="X141" s="102" t="s">
        <v>342</v>
      </c>
      <c r="Y141" s="103">
        <v>680</v>
      </c>
      <c r="Z141" s="103">
        <f>Y141*W141</f>
        <v>2720</v>
      </c>
      <c r="AA141" s="99">
        <v>8</v>
      </c>
      <c r="AB141" s="100">
        <f t="shared" si="39"/>
        <v>5760</v>
      </c>
      <c r="AC141" s="104"/>
      <c r="AD141" s="105"/>
      <c r="AE141" s="105"/>
      <c r="AF141" s="105"/>
      <c r="AG141" s="99">
        <v>0</v>
      </c>
      <c r="AH141" s="100">
        <f t="shared" si="40"/>
        <v>0</v>
      </c>
      <c r="AI141" s="106"/>
      <c r="AJ141" s="107"/>
      <c r="AK141" s="107"/>
      <c r="AL141" s="107"/>
      <c r="AM141" s="99">
        <v>0</v>
      </c>
      <c r="AN141" s="100">
        <f t="shared" si="41"/>
        <v>0</v>
      </c>
      <c r="AO141" s="108">
        <f t="shared" si="42"/>
        <v>12</v>
      </c>
      <c r="AP141" s="308">
        <f t="shared" si="43"/>
        <v>2720</v>
      </c>
    </row>
    <row r="142" spans="1:50" ht="20.45" customHeight="1">
      <c r="A142" s="85" t="s">
        <v>404</v>
      </c>
      <c r="B142" s="86">
        <v>80</v>
      </c>
      <c r="C142" s="87">
        <v>1289578</v>
      </c>
      <c r="D142" s="88">
        <v>1289550</v>
      </c>
      <c r="E142" s="88"/>
      <c r="F142" s="89" t="s">
        <v>405</v>
      </c>
      <c r="G142" s="109" t="s">
        <v>406</v>
      </c>
      <c r="H142" s="109" t="s">
        <v>110</v>
      </c>
      <c r="I142" s="91">
        <v>1</v>
      </c>
      <c r="J142" s="92" t="s">
        <v>51</v>
      </c>
      <c r="K142" s="93">
        <v>1</v>
      </c>
      <c r="L142" s="93" t="s">
        <v>52</v>
      </c>
      <c r="M142" s="135">
        <v>42</v>
      </c>
      <c r="N142" s="135">
        <f>13.3/9*12</f>
        <v>17.733333333333334</v>
      </c>
      <c r="O142" s="135">
        <v>90.666666666666671</v>
      </c>
      <c r="P142" s="94">
        <v>115</v>
      </c>
      <c r="Q142" s="133">
        <v>15</v>
      </c>
      <c r="R142" s="96">
        <f>P142-Q142</f>
        <v>100</v>
      </c>
      <c r="S142" s="125">
        <v>235.4</v>
      </c>
      <c r="T142" s="98">
        <f t="shared" si="37"/>
        <v>23540</v>
      </c>
      <c r="U142" s="99">
        <v>0</v>
      </c>
      <c r="V142" s="100">
        <f t="shared" si="38"/>
        <v>0</v>
      </c>
      <c r="W142" s="101"/>
      <c r="X142" s="102"/>
      <c r="Y142" s="127"/>
      <c r="Z142" s="103"/>
      <c r="AA142" s="99">
        <v>50</v>
      </c>
      <c r="AB142" s="100">
        <f t="shared" si="39"/>
        <v>11770</v>
      </c>
      <c r="AC142" s="104">
        <v>50</v>
      </c>
      <c r="AD142" s="105" t="s">
        <v>110</v>
      </c>
      <c r="AE142" s="134">
        <v>235.4</v>
      </c>
      <c r="AF142" s="105">
        <f>AE142*AC142</f>
        <v>11770</v>
      </c>
      <c r="AG142" s="99">
        <v>0</v>
      </c>
      <c r="AH142" s="100">
        <f t="shared" si="40"/>
        <v>0</v>
      </c>
      <c r="AI142" s="106"/>
      <c r="AJ142" s="107"/>
      <c r="AK142" s="107"/>
      <c r="AL142" s="107"/>
      <c r="AM142" s="99">
        <v>50</v>
      </c>
      <c r="AN142" s="100">
        <f t="shared" si="41"/>
        <v>11770</v>
      </c>
      <c r="AO142" s="108">
        <f t="shared" si="42"/>
        <v>100</v>
      </c>
      <c r="AP142" s="308">
        <f t="shared" si="43"/>
        <v>11770</v>
      </c>
    </row>
    <row r="143" spans="1:50" ht="20.45" customHeight="1">
      <c r="A143" s="85" t="s">
        <v>411</v>
      </c>
      <c r="B143" s="86">
        <v>82</v>
      </c>
      <c r="C143" s="87" t="s">
        <v>412</v>
      </c>
      <c r="D143" s="88">
        <v>636069</v>
      </c>
      <c r="E143" s="88"/>
      <c r="F143" s="89" t="s">
        <v>413</v>
      </c>
      <c r="G143" s="109" t="s">
        <v>414</v>
      </c>
      <c r="H143" s="109"/>
      <c r="I143" s="91">
        <v>1</v>
      </c>
      <c r="J143" s="92" t="s">
        <v>115</v>
      </c>
      <c r="K143" s="93">
        <v>1</v>
      </c>
      <c r="L143" s="93" t="s">
        <v>196</v>
      </c>
      <c r="M143" s="116">
        <f>92/10*12</f>
        <v>110.39999999999999</v>
      </c>
      <c r="N143" s="116">
        <f>65/9*12</f>
        <v>86.666666666666671</v>
      </c>
      <c r="O143" s="116">
        <v>49.333333333333336</v>
      </c>
      <c r="P143" s="94">
        <v>100</v>
      </c>
      <c r="Q143" s="95">
        <v>0</v>
      </c>
      <c r="R143" s="96">
        <f>P143-Q143</f>
        <v>100</v>
      </c>
      <c r="S143" s="97">
        <v>14</v>
      </c>
      <c r="T143" s="98">
        <f t="shared" si="37"/>
        <v>1400</v>
      </c>
      <c r="U143" s="99">
        <v>0</v>
      </c>
      <c r="V143" s="100">
        <f t="shared" si="38"/>
        <v>0</v>
      </c>
      <c r="W143" s="101"/>
      <c r="X143" s="102"/>
      <c r="Y143" s="103"/>
      <c r="Z143" s="103"/>
      <c r="AA143" s="99">
        <v>100</v>
      </c>
      <c r="AB143" s="100">
        <f t="shared" si="39"/>
        <v>1400</v>
      </c>
      <c r="AC143" s="104">
        <v>100</v>
      </c>
      <c r="AD143" s="105" t="s">
        <v>147</v>
      </c>
      <c r="AE143" s="105">
        <v>13</v>
      </c>
      <c r="AF143" s="105">
        <f>AE143*AC143</f>
        <v>1300</v>
      </c>
      <c r="AG143" s="99">
        <v>0</v>
      </c>
      <c r="AH143" s="100">
        <f t="shared" si="40"/>
        <v>0</v>
      </c>
      <c r="AI143" s="106"/>
      <c r="AJ143" s="107"/>
      <c r="AK143" s="107"/>
      <c r="AL143" s="107"/>
      <c r="AM143" s="99">
        <v>0</v>
      </c>
      <c r="AN143" s="100">
        <f t="shared" si="41"/>
        <v>0</v>
      </c>
      <c r="AO143" s="108">
        <f t="shared" si="42"/>
        <v>100</v>
      </c>
      <c r="AP143" s="308">
        <f t="shared" si="43"/>
        <v>1300</v>
      </c>
    </row>
    <row r="144" spans="1:50" ht="20.45" customHeight="1">
      <c r="A144" s="85" t="s">
        <v>415</v>
      </c>
      <c r="B144" s="86">
        <v>83</v>
      </c>
      <c r="C144" s="87" t="s">
        <v>416</v>
      </c>
      <c r="D144" s="88">
        <v>230294</v>
      </c>
      <c r="E144" s="88"/>
      <c r="F144" s="89" t="s">
        <v>417</v>
      </c>
      <c r="G144" s="109" t="s">
        <v>418</v>
      </c>
      <c r="H144" s="109"/>
      <c r="I144" s="91">
        <v>1</v>
      </c>
      <c r="J144" s="92" t="s">
        <v>83</v>
      </c>
      <c r="K144" s="93">
        <v>1000</v>
      </c>
      <c r="L144" s="93" t="s">
        <v>84</v>
      </c>
      <c r="M144" s="116">
        <f>12/10*12</f>
        <v>14.399999999999999</v>
      </c>
      <c r="N144" s="116">
        <f>14.5/9*12</f>
        <v>19.333333333333336</v>
      </c>
      <c r="O144" s="116">
        <v>18</v>
      </c>
      <c r="P144" s="94">
        <v>18</v>
      </c>
      <c r="Q144" s="95">
        <v>3</v>
      </c>
      <c r="R144" s="132">
        <v>20</v>
      </c>
      <c r="S144" s="97">
        <v>630</v>
      </c>
      <c r="T144" s="98">
        <f t="shared" si="37"/>
        <v>12600</v>
      </c>
      <c r="U144" s="99">
        <v>0</v>
      </c>
      <c r="V144" s="100">
        <f t="shared" si="38"/>
        <v>0</v>
      </c>
      <c r="W144" s="101"/>
      <c r="X144" s="102"/>
      <c r="Y144" s="103"/>
      <c r="Z144" s="103"/>
      <c r="AA144" s="99">
        <v>10</v>
      </c>
      <c r="AB144" s="100">
        <f t="shared" si="39"/>
        <v>6300</v>
      </c>
      <c r="AC144" s="104">
        <f>2*5</f>
        <v>10</v>
      </c>
      <c r="AD144" s="105" t="s">
        <v>122</v>
      </c>
      <c r="AE144" s="105">
        <f>315*2</f>
        <v>630</v>
      </c>
      <c r="AF144" s="105">
        <f>AE144*AC144</f>
        <v>6300</v>
      </c>
      <c r="AG144" s="99">
        <v>5</v>
      </c>
      <c r="AH144" s="100">
        <f t="shared" si="40"/>
        <v>3150</v>
      </c>
      <c r="AI144" s="106">
        <v>5</v>
      </c>
      <c r="AJ144" s="107" t="s">
        <v>122</v>
      </c>
      <c r="AK144" s="107">
        <v>630</v>
      </c>
      <c r="AL144" s="107">
        <f>AK144*AI144</f>
        <v>3150</v>
      </c>
      <c r="AM144" s="99">
        <v>5</v>
      </c>
      <c r="AN144" s="100">
        <f t="shared" si="41"/>
        <v>3150</v>
      </c>
      <c r="AO144" s="108">
        <f t="shared" si="42"/>
        <v>20</v>
      </c>
      <c r="AP144" s="308">
        <f t="shared" si="43"/>
        <v>9450</v>
      </c>
    </row>
    <row r="145" spans="1:50" ht="20.45" customHeight="1">
      <c r="A145" s="85" t="s">
        <v>419</v>
      </c>
      <c r="B145" s="86">
        <v>84</v>
      </c>
      <c r="C145" s="87" t="s">
        <v>420</v>
      </c>
      <c r="D145" s="88">
        <v>869870</v>
      </c>
      <c r="E145" s="88"/>
      <c r="F145" s="89" t="s">
        <v>421</v>
      </c>
      <c r="G145" s="109" t="s">
        <v>422</v>
      </c>
      <c r="H145" s="109" t="s">
        <v>110</v>
      </c>
      <c r="I145" s="91">
        <v>1</v>
      </c>
      <c r="J145" s="92" t="s">
        <v>88</v>
      </c>
      <c r="K145" s="93">
        <v>1</v>
      </c>
      <c r="L145" s="93" t="s">
        <v>73</v>
      </c>
      <c r="M145" s="116">
        <f>891/10*12</f>
        <v>1069.1999999999998</v>
      </c>
      <c r="N145" s="116">
        <f>574/9*12</f>
        <v>765.33333333333337</v>
      </c>
      <c r="O145" s="116">
        <v>964</v>
      </c>
      <c r="P145" s="94">
        <v>1030</v>
      </c>
      <c r="Q145" s="95">
        <v>230</v>
      </c>
      <c r="R145" s="96">
        <f>P145-Q145</f>
        <v>800</v>
      </c>
      <c r="S145" s="125">
        <v>5.35</v>
      </c>
      <c r="T145" s="98">
        <f t="shared" si="37"/>
        <v>4280</v>
      </c>
      <c r="U145" s="99">
        <v>400</v>
      </c>
      <c r="V145" s="100">
        <f t="shared" si="38"/>
        <v>2140</v>
      </c>
      <c r="W145" s="101">
        <v>400</v>
      </c>
      <c r="X145" s="102" t="s">
        <v>110</v>
      </c>
      <c r="Y145" s="103">
        <f>267.5/50</f>
        <v>5.35</v>
      </c>
      <c r="Z145" s="103">
        <f>Y145*W145</f>
        <v>2140</v>
      </c>
      <c r="AA145" s="99">
        <v>0</v>
      </c>
      <c r="AB145" s="100">
        <f t="shared" si="39"/>
        <v>0</v>
      </c>
      <c r="AC145" s="104"/>
      <c r="AD145" s="105"/>
      <c r="AE145" s="105"/>
      <c r="AF145" s="105"/>
      <c r="AG145" s="99">
        <v>400</v>
      </c>
      <c r="AH145" s="100">
        <f t="shared" si="40"/>
        <v>2140</v>
      </c>
      <c r="AI145" s="106">
        <v>400</v>
      </c>
      <c r="AJ145" s="107" t="s">
        <v>110</v>
      </c>
      <c r="AK145" s="107">
        <f>267.5/50</f>
        <v>5.35</v>
      </c>
      <c r="AL145" s="107">
        <f>AK145*AI145</f>
        <v>2140</v>
      </c>
      <c r="AM145" s="99">
        <v>0</v>
      </c>
      <c r="AN145" s="100">
        <f t="shared" si="41"/>
        <v>0</v>
      </c>
      <c r="AO145" s="108">
        <f t="shared" si="42"/>
        <v>800</v>
      </c>
      <c r="AP145" s="308">
        <f t="shared" si="43"/>
        <v>4280</v>
      </c>
    </row>
    <row r="146" spans="1:50" ht="20.45" customHeight="1">
      <c r="A146" s="85" t="s">
        <v>423</v>
      </c>
      <c r="B146" s="86">
        <v>85</v>
      </c>
      <c r="C146" s="87" t="s">
        <v>424</v>
      </c>
      <c r="D146" s="88">
        <v>783693</v>
      </c>
      <c r="E146" s="88"/>
      <c r="F146" s="89" t="s">
        <v>425</v>
      </c>
      <c r="G146" s="109" t="s">
        <v>426</v>
      </c>
      <c r="H146" s="109" t="s">
        <v>110</v>
      </c>
      <c r="I146" s="91">
        <v>1</v>
      </c>
      <c r="J146" s="92" t="s">
        <v>195</v>
      </c>
      <c r="K146" s="93">
        <v>1</v>
      </c>
      <c r="L146" s="93" t="s">
        <v>196</v>
      </c>
      <c r="M146" s="116">
        <f>7164/10*12</f>
        <v>8596.7999999999993</v>
      </c>
      <c r="N146" s="116">
        <f>6403/9*12</f>
        <v>8537.3333333333339</v>
      </c>
      <c r="O146" s="116">
        <v>7456</v>
      </c>
      <c r="P146" s="94">
        <v>7700</v>
      </c>
      <c r="Q146" s="95">
        <v>700</v>
      </c>
      <c r="R146" s="132">
        <v>10000</v>
      </c>
      <c r="S146" s="137">
        <v>10</v>
      </c>
      <c r="T146" s="98">
        <f t="shared" si="37"/>
        <v>100000</v>
      </c>
      <c r="U146" s="99">
        <v>4000</v>
      </c>
      <c r="V146" s="100">
        <f t="shared" si="38"/>
        <v>40000</v>
      </c>
      <c r="W146" s="101">
        <f>2*2000</f>
        <v>4000</v>
      </c>
      <c r="X146" s="102" t="s">
        <v>110</v>
      </c>
      <c r="Y146" s="103">
        <v>8.56</v>
      </c>
      <c r="Z146" s="103">
        <f>Y146*W146</f>
        <v>34240</v>
      </c>
      <c r="AA146" s="99">
        <v>2000</v>
      </c>
      <c r="AB146" s="100">
        <f t="shared" si="39"/>
        <v>20000</v>
      </c>
      <c r="AC146" s="104">
        <v>2000</v>
      </c>
      <c r="AD146" s="105" t="s">
        <v>110</v>
      </c>
      <c r="AE146" s="105">
        <v>8.56</v>
      </c>
      <c r="AF146" s="105">
        <f>AE146*AC146</f>
        <v>17120</v>
      </c>
      <c r="AG146" s="99">
        <v>2000</v>
      </c>
      <c r="AH146" s="100">
        <f t="shared" si="40"/>
        <v>20000</v>
      </c>
      <c r="AI146" s="106"/>
      <c r="AJ146" s="107"/>
      <c r="AK146" s="107"/>
      <c r="AL146" s="107"/>
      <c r="AM146" s="99">
        <v>2000</v>
      </c>
      <c r="AN146" s="100">
        <f t="shared" si="41"/>
        <v>20000</v>
      </c>
      <c r="AO146" s="108">
        <f t="shared" si="42"/>
        <v>10000</v>
      </c>
      <c r="AP146" s="308">
        <f t="shared" si="43"/>
        <v>51360</v>
      </c>
    </row>
    <row r="147" spans="1:50" ht="20.45" customHeight="1">
      <c r="A147" s="85" t="s">
        <v>427</v>
      </c>
      <c r="B147" s="86">
        <v>86</v>
      </c>
      <c r="C147" s="87" t="s">
        <v>428</v>
      </c>
      <c r="D147" s="88">
        <v>858114</v>
      </c>
      <c r="E147" s="88"/>
      <c r="F147" s="89" t="s">
        <v>429</v>
      </c>
      <c r="G147" s="109" t="s">
        <v>430</v>
      </c>
      <c r="H147" s="109"/>
      <c r="I147" s="91">
        <v>1</v>
      </c>
      <c r="J147" s="92" t="s">
        <v>83</v>
      </c>
      <c r="K147" s="93">
        <v>1000</v>
      </c>
      <c r="L147" s="93" t="s">
        <v>84</v>
      </c>
      <c r="M147" s="116">
        <f>181/10*12</f>
        <v>217.20000000000002</v>
      </c>
      <c r="N147" s="116">
        <f>147/9*12</f>
        <v>196</v>
      </c>
      <c r="O147" s="116">
        <v>168</v>
      </c>
      <c r="P147" s="94">
        <v>169</v>
      </c>
      <c r="Q147" s="133">
        <v>9</v>
      </c>
      <c r="R147" s="112">
        <v>200</v>
      </c>
      <c r="S147" s="137">
        <v>60</v>
      </c>
      <c r="T147" s="98">
        <f t="shared" si="37"/>
        <v>12000</v>
      </c>
      <c r="U147" s="99">
        <v>80</v>
      </c>
      <c r="V147" s="100">
        <f t="shared" si="38"/>
        <v>4800</v>
      </c>
      <c r="W147" s="101">
        <f>2*40</f>
        <v>80</v>
      </c>
      <c r="X147" s="102" t="s">
        <v>160</v>
      </c>
      <c r="Y147" s="103">
        <v>55</v>
      </c>
      <c r="Z147" s="103">
        <f>Y147*W147</f>
        <v>4400</v>
      </c>
      <c r="AA147" s="99">
        <v>40</v>
      </c>
      <c r="AB147" s="100">
        <f t="shared" si="39"/>
        <v>2400</v>
      </c>
      <c r="AC147" s="104">
        <v>40</v>
      </c>
      <c r="AD147" s="105" t="s">
        <v>160</v>
      </c>
      <c r="AE147" s="105">
        <v>55</v>
      </c>
      <c r="AF147" s="105">
        <f>AE147*AC147</f>
        <v>2200</v>
      </c>
      <c r="AG147" s="99">
        <v>40</v>
      </c>
      <c r="AH147" s="100">
        <f t="shared" si="40"/>
        <v>2400</v>
      </c>
      <c r="AI147" s="106">
        <v>40</v>
      </c>
      <c r="AJ147" s="107" t="s">
        <v>160</v>
      </c>
      <c r="AK147" s="107">
        <v>55</v>
      </c>
      <c r="AL147" s="107">
        <f>AK147*AI147</f>
        <v>2200</v>
      </c>
      <c r="AM147" s="99">
        <v>40</v>
      </c>
      <c r="AN147" s="100">
        <f t="shared" si="41"/>
        <v>2400</v>
      </c>
      <c r="AO147" s="108">
        <f t="shared" si="42"/>
        <v>200</v>
      </c>
      <c r="AP147" s="308">
        <f t="shared" si="43"/>
        <v>8800</v>
      </c>
    </row>
    <row r="148" spans="1:50" s="151" customFormat="1" ht="20.45" customHeight="1">
      <c r="A148" s="85" t="s">
        <v>431</v>
      </c>
      <c r="B148" s="86">
        <v>87</v>
      </c>
      <c r="C148" s="87" t="s">
        <v>432</v>
      </c>
      <c r="D148" s="88">
        <v>528289</v>
      </c>
      <c r="E148" s="88"/>
      <c r="F148" s="89" t="s">
        <v>433</v>
      </c>
      <c r="G148" s="109" t="s">
        <v>434</v>
      </c>
      <c r="H148" s="109"/>
      <c r="I148" s="91">
        <v>1</v>
      </c>
      <c r="J148" s="92" t="s">
        <v>51</v>
      </c>
      <c r="K148" s="93">
        <v>1</v>
      </c>
      <c r="L148" s="93" t="s">
        <v>52</v>
      </c>
      <c r="M148" s="116">
        <f>2098/10*12</f>
        <v>2517.6000000000004</v>
      </c>
      <c r="N148" s="116">
        <f>1729/9*12</f>
        <v>2305.3333333333335</v>
      </c>
      <c r="O148" s="116">
        <v>2120</v>
      </c>
      <c r="P148" s="94">
        <v>2390</v>
      </c>
      <c r="Q148" s="95">
        <v>390</v>
      </c>
      <c r="R148" s="96">
        <f t="shared" ref="R148:R153" si="44">P148-Q148</f>
        <v>2000</v>
      </c>
      <c r="S148" s="137">
        <v>29</v>
      </c>
      <c r="T148" s="98">
        <f t="shared" si="37"/>
        <v>58000</v>
      </c>
      <c r="U148" s="99">
        <v>500</v>
      </c>
      <c r="V148" s="100">
        <f t="shared" si="38"/>
        <v>14500</v>
      </c>
      <c r="W148" s="101">
        <v>500</v>
      </c>
      <c r="X148" s="102" t="s">
        <v>53</v>
      </c>
      <c r="Y148" s="103">
        <v>23.2</v>
      </c>
      <c r="Z148" s="103">
        <f>Y148*W148</f>
        <v>11600</v>
      </c>
      <c r="AA148" s="99">
        <v>500</v>
      </c>
      <c r="AB148" s="100">
        <f t="shared" si="39"/>
        <v>14500</v>
      </c>
      <c r="AC148" s="104">
        <v>500</v>
      </c>
      <c r="AD148" s="105" t="s">
        <v>53</v>
      </c>
      <c r="AE148" s="105">
        <v>23.2</v>
      </c>
      <c r="AF148" s="105">
        <f>AE148*AC148</f>
        <v>11600</v>
      </c>
      <c r="AG148" s="99">
        <v>500</v>
      </c>
      <c r="AH148" s="100">
        <f t="shared" si="40"/>
        <v>14500</v>
      </c>
      <c r="AI148" s="106">
        <v>500</v>
      </c>
      <c r="AJ148" s="107" t="s">
        <v>53</v>
      </c>
      <c r="AK148" s="107">
        <v>23.2</v>
      </c>
      <c r="AL148" s="107">
        <f>AK148*AI148</f>
        <v>11600</v>
      </c>
      <c r="AM148" s="99">
        <v>500</v>
      </c>
      <c r="AN148" s="100">
        <f t="shared" si="41"/>
        <v>14500</v>
      </c>
      <c r="AO148" s="108">
        <f t="shared" si="42"/>
        <v>2000</v>
      </c>
      <c r="AP148" s="308">
        <f t="shared" si="43"/>
        <v>34800</v>
      </c>
      <c r="AQ148" s="3"/>
      <c r="AR148" s="3"/>
      <c r="AS148" s="3"/>
      <c r="AT148" s="3"/>
      <c r="AU148" s="3"/>
      <c r="AV148" s="3"/>
      <c r="AW148" s="3"/>
      <c r="AX148" s="3"/>
    </row>
    <row r="149" spans="1:50" ht="20.45" customHeight="1">
      <c r="A149" s="85" t="s">
        <v>435</v>
      </c>
      <c r="B149" s="86">
        <v>88</v>
      </c>
      <c r="C149" s="87" t="s">
        <v>436</v>
      </c>
      <c r="D149" s="88">
        <v>817071</v>
      </c>
      <c r="E149" s="88"/>
      <c r="F149" s="89" t="s">
        <v>433</v>
      </c>
      <c r="G149" s="109" t="s">
        <v>437</v>
      </c>
      <c r="H149" s="109"/>
      <c r="I149" s="91">
        <v>1</v>
      </c>
      <c r="J149" s="92" t="s">
        <v>51</v>
      </c>
      <c r="K149" s="93">
        <v>1</v>
      </c>
      <c r="L149" s="93" t="s">
        <v>52</v>
      </c>
      <c r="M149" s="116">
        <f>71/10*12</f>
        <v>85.199999999999989</v>
      </c>
      <c r="N149" s="116">
        <f>53/9*12</f>
        <v>70.666666666666671</v>
      </c>
      <c r="O149" s="116">
        <v>64</v>
      </c>
      <c r="P149" s="94">
        <v>76</v>
      </c>
      <c r="Q149" s="95">
        <v>76</v>
      </c>
      <c r="R149" s="96">
        <f t="shared" si="44"/>
        <v>0</v>
      </c>
      <c r="S149" s="97">
        <v>27.4</v>
      </c>
      <c r="T149" s="98">
        <f t="shared" si="37"/>
        <v>0</v>
      </c>
      <c r="U149" s="99">
        <v>0</v>
      </c>
      <c r="V149" s="100">
        <f t="shared" si="38"/>
        <v>0</v>
      </c>
      <c r="W149" s="101"/>
      <c r="X149" s="102"/>
      <c r="Y149" s="103"/>
      <c r="Z149" s="103"/>
      <c r="AA149" s="99">
        <v>0</v>
      </c>
      <c r="AB149" s="100">
        <f t="shared" si="39"/>
        <v>0</v>
      </c>
      <c r="AC149" s="104"/>
      <c r="AD149" s="105"/>
      <c r="AE149" s="105"/>
      <c r="AF149" s="105">
        <f>AE149*AC149</f>
        <v>0</v>
      </c>
      <c r="AG149" s="99">
        <v>0</v>
      </c>
      <c r="AH149" s="100">
        <f t="shared" si="40"/>
        <v>0</v>
      </c>
      <c r="AI149" s="106"/>
      <c r="AJ149" s="107"/>
      <c r="AK149" s="107"/>
      <c r="AL149" s="107"/>
      <c r="AM149" s="99">
        <v>0</v>
      </c>
      <c r="AN149" s="100">
        <f t="shared" si="41"/>
        <v>0</v>
      </c>
      <c r="AO149" s="108">
        <f t="shared" si="42"/>
        <v>0</v>
      </c>
      <c r="AP149" s="308">
        <f t="shared" si="43"/>
        <v>0</v>
      </c>
    </row>
    <row r="150" spans="1:50" ht="20.45" customHeight="1">
      <c r="A150" s="85" t="s">
        <v>438</v>
      </c>
      <c r="B150" s="86">
        <v>89</v>
      </c>
      <c r="C150" s="87" t="s">
        <v>439</v>
      </c>
      <c r="D150" s="88">
        <v>529144</v>
      </c>
      <c r="E150" s="88"/>
      <c r="F150" s="89" t="s">
        <v>440</v>
      </c>
      <c r="G150" s="109" t="s">
        <v>441</v>
      </c>
      <c r="H150" s="109"/>
      <c r="I150" s="91">
        <v>1</v>
      </c>
      <c r="J150" s="92" t="s">
        <v>51</v>
      </c>
      <c r="K150" s="93">
        <v>1</v>
      </c>
      <c r="L150" s="93" t="s">
        <v>52</v>
      </c>
      <c r="M150" s="116">
        <f>163/10*12</f>
        <v>195.60000000000002</v>
      </c>
      <c r="N150" s="116">
        <f>116/9*12</f>
        <v>154.66666666666669</v>
      </c>
      <c r="O150" s="116">
        <v>212</v>
      </c>
      <c r="P150" s="94">
        <v>218</v>
      </c>
      <c r="Q150" s="95">
        <v>18</v>
      </c>
      <c r="R150" s="96">
        <f t="shared" si="44"/>
        <v>200</v>
      </c>
      <c r="S150" s="97">
        <v>32.1</v>
      </c>
      <c r="T150" s="98">
        <f t="shared" si="37"/>
        <v>6420</v>
      </c>
      <c r="U150" s="99">
        <v>100</v>
      </c>
      <c r="V150" s="100">
        <f t="shared" si="38"/>
        <v>3210</v>
      </c>
      <c r="W150" s="101">
        <v>100</v>
      </c>
      <c r="X150" s="102" t="s">
        <v>65</v>
      </c>
      <c r="Y150" s="103">
        <v>29.5</v>
      </c>
      <c r="Z150" s="103">
        <f>Y150*W150</f>
        <v>2950</v>
      </c>
      <c r="AA150" s="99">
        <v>100</v>
      </c>
      <c r="AB150" s="100">
        <f t="shared" si="39"/>
        <v>3210</v>
      </c>
      <c r="AC150" s="104">
        <v>100</v>
      </c>
      <c r="AD150" s="105" t="s">
        <v>65</v>
      </c>
      <c r="AE150" s="105">
        <v>29.5</v>
      </c>
      <c r="AF150" s="105">
        <f>AE150*AC150</f>
        <v>2950</v>
      </c>
      <c r="AG150" s="99">
        <v>0</v>
      </c>
      <c r="AH150" s="100">
        <f t="shared" si="40"/>
        <v>0</v>
      </c>
      <c r="AI150" s="106">
        <v>100</v>
      </c>
      <c r="AJ150" s="107" t="s">
        <v>65</v>
      </c>
      <c r="AK150" s="107">
        <v>29.5</v>
      </c>
      <c r="AL150" s="107">
        <f>AK150*AI150</f>
        <v>2950</v>
      </c>
      <c r="AM150" s="99">
        <v>0</v>
      </c>
      <c r="AN150" s="100">
        <f t="shared" si="41"/>
        <v>0</v>
      </c>
      <c r="AO150" s="108">
        <f t="shared" si="42"/>
        <v>200</v>
      </c>
      <c r="AP150" s="308">
        <f t="shared" si="43"/>
        <v>8850</v>
      </c>
      <c r="AT150" s="121"/>
      <c r="AU150" s="121"/>
      <c r="AV150" s="121"/>
      <c r="AW150" s="121"/>
      <c r="AX150" s="121"/>
    </row>
    <row r="151" spans="1:50" ht="20.45" customHeight="1">
      <c r="A151" s="85" t="s">
        <v>442</v>
      </c>
      <c r="B151" s="86">
        <v>90</v>
      </c>
      <c r="C151" s="87" t="s">
        <v>443</v>
      </c>
      <c r="D151" s="88">
        <v>529116</v>
      </c>
      <c r="E151" s="88"/>
      <c r="F151" s="89" t="s">
        <v>440</v>
      </c>
      <c r="G151" s="109" t="s">
        <v>444</v>
      </c>
      <c r="H151" s="109"/>
      <c r="I151" s="91">
        <v>1</v>
      </c>
      <c r="J151" s="92" t="s">
        <v>51</v>
      </c>
      <c r="K151" s="93">
        <v>1</v>
      </c>
      <c r="L151" s="93" t="s">
        <v>52</v>
      </c>
      <c r="M151" s="116">
        <f>89/10*12</f>
        <v>106.80000000000001</v>
      </c>
      <c r="N151" s="116">
        <f>28/9*12</f>
        <v>37.333333333333336</v>
      </c>
      <c r="O151" s="116">
        <v>66.666666666666671</v>
      </c>
      <c r="P151" s="94">
        <v>76</v>
      </c>
      <c r="Q151" s="95">
        <v>16</v>
      </c>
      <c r="R151" s="96">
        <f t="shared" si="44"/>
        <v>60</v>
      </c>
      <c r="S151" s="97">
        <v>27.4</v>
      </c>
      <c r="T151" s="98">
        <f t="shared" si="37"/>
        <v>1644</v>
      </c>
      <c r="U151" s="99">
        <v>60</v>
      </c>
      <c r="V151" s="100">
        <f t="shared" si="38"/>
        <v>1644</v>
      </c>
      <c r="W151" s="101">
        <v>60</v>
      </c>
      <c r="X151" s="102" t="s">
        <v>53</v>
      </c>
      <c r="Y151" s="103">
        <v>24.5</v>
      </c>
      <c r="Z151" s="103">
        <f>Y151*W151</f>
        <v>1470</v>
      </c>
      <c r="AA151" s="99">
        <v>0</v>
      </c>
      <c r="AB151" s="100">
        <f t="shared" si="39"/>
        <v>0</v>
      </c>
      <c r="AC151" s="104"/>
      <c r="AD151" s="105"/>
      <c r="AE151" s="105"/>
      <c r="AF151" s="105"/>
      <c r="AG151" s="99">
        <v>0</v>
      </c>
      <c r="AH151" s="100">
        <f t="shared" si="40"/>
        <v>0</v>
      </c>
      <c r="AI151" s="106">
        <v>40</v>
      </c>
      <c r="AJ151" s="107" t="s">
        <v>65</v>
      </c>
      <c r="AK151" s="107">
        <v>26</v>
      </c>
      <c r="AL151" s="107">
        <f>AK151*AI151</f>
        <v>1040</v>
      </c>
      <c r="AM151" s="99">
        <v>0</v>
      </c>
      <c r="AN151" s="100">
        <f t="shared" si="41"/>
        <v>0</v>
      </c>
      <c r="AO151" s="108">
        <f t="shared" si="42"/>
        <v>60</v>
      </c>
      <c r="AP151" s="308">
        <f t="shared" si="43"/>
        <v>2510</v>
      </c>
    </row>
    <row r="152" spans="1:50" ht="20.45" customHeight="1">
      <c r="A152" s="85" t="s">
        <v>445</v>
      </c>
      <c r="B152" s="86">
        <v>91</v>
      </c>
      <c r="C152" s="87" t="s">
        <v>446</v>
      </c>
      <c r="D152" s="88">
        <v>817092</v>
      </c>
      <c r="E152" s="88"/>
      <c r="F152" s="89" t="s">
        <v>447</v>
      </c>
      <c r="G152" s="109" t="s">
        <v>448</v>
      </c>
      <c r="H152" s="109"/>
      <c r="I152" s="91">
        <v>1</v>
      </c>
      <c r="J152" s="92" t="s">
        <v>51</v>
      </c>
      <c r="K152" s="93">
        <v>1</v>
      </c>
      <c r="L152" s="93" t="s">
        <v>52</v>
      </c>
      <c r="M152" s="116">
        <v>0</v>
      </c>
      <c r="N152" s="116">
        <f>12/9*12</f>
        <v>16</v>
      </c>
      <c r="O152" s="116">
        <v>13.333333333333334</v>
      </c>
      <c r="P152" s="94">
        <v>20</v>
      </c>
      <c r="Q152" s="95">
        <v>20</v>
      </c>
      <c r="R152" s="96">
        <f t="shared" si="44"/>
        <v>0</v>
      </c>
      <c r="S152" s="97">
        <v>27.4</v>
      </c>
      <c r="T152" s="98">
        <f t="shared" si="37"/>
        <v>0</v>
      </c>
      <c r="U152" s="99">
        <v>0</v>
      </c>
      <c r="V152" s="100">
        <f t="shared" si="38"/>
        <v>0</v>
      </c>
      <c r="W152" s="101"/>
      <c r="X152" s="102"/>
      <c r="Y152" s="103"/>
      <c r="Z152" s="103"/>
      <c r="AA152" s="99">
        <v>0</v>
      </c>
      <c r="AB152" s="100">
        <f t="shared" si="39"/>
        <v>0</v>
      </c>
      <c r="AC152" s="104"/>
      <c r="AD152" s="105"/>
      <c r="AE152" s="105"/>
      <c r="AF152" s="105"/>
      <c r="AG152" s="99">
        <v>0</v>
      </c>
      <c r="AH152" s="100">
        <f t="shared" si="40"/>
        <v>0</v>
      </c>
      <c r="AI152" s="106"/>
      <c r="AJ152" s="107"/>
      <c r="AK152" s="107"/>
      <c r="AL152" s="107"/>
      <c r="AM152" s="99">
        <v>0</v>
      </c>
      <c r="AN152" s="100">
        <f t="shared" si="41"/>
        <v>0</v>
      </c>
      <c r="AO152" s="108">
        <f t="shared" si="42"/>
        <v>0</v>
      </c>
      <c r="AP152" s="308">
        <f t="shared" si="43"/>
        <v>0</v>
      </c>
    </row>
    <row r="153" spans="1:50" ht="20.45" customHeight="1">
      <c r="A153" s="85" t="s">
        <v>449</v>
      </c>
      <c r="B153" s="86">
        <v>92</v>
      </c>
      <c r="C153" s="87" t="s">
        <v>450</v>
      </c>
      <c r="D153" s="88">
        <v>528289</v>
      </c>
      <c r="E153" s="88"/>
      <c r="F153" s="89" t="s">
        <v>451</v>
      </c>
      <c r="G153" s="109" t="s">
        <v>452</v>
      </c>
      <c r="H153" s="109"/>
      <c r="I153" s="91">
        <v>1</v>
      </c>
      <c r="J153" s="92" t="s">
        <v>51</v>
      </c>
      <c r="K153" s="93">
        <v>1</v>
      </c>
      <c r="L153" s="93" t="s">
        <v>52</v>
      </c>
      <c r="M153" s="116">
        <f>15/10*12</f>
        <v>18</v>
      </c>
      <c r="N153" s="116">
        <f>3/9*12</f>
        <v>4</v>
      </c>
      <c r="O153" s="116">
        <v>14.666666666666666</v>
      </c>
      <c r="P153" s="94">
        <v>20</v>
      </c>
      <c r="Q153" s="95">
        <v>20</v>
      </c>
      <c r="R153" s="96">
        <f t="shared" si="44"/>
        <v>0</v>
      </c>
      <c r="S153" s="97">
        <v>27.4</v>
      </c>
      <c r="T153" s="98">
        <f t="shared" si="37"/>
        <v>0</v>
      </c>
      <c r="U153" s="99">
        <v>0</v>
      </c>
      <c r="V153" s="100">
        <f t="shared" si="38"/>
        <v>0</v>
      </c>
      <c r="W153" s="101"/>
      <c r="X153" s="102"/>
      <c r="Y153" s="103"/>
      <c r="Z153" s="103"/>
      <c r="AA153" s="99">
        <v>0</v>
      </c>
      <c r="AB153" s="100">
        <f t="shared" si="39"/>
        <v>0</v>
      </c>
      <c r="AC153" s="104"/>
      <c r="AD153" s="105"/>
      <c r="AE153" s="105"/>
      <c r="AF153" s="105"/>
      <c r="AG153" s="99">
        <v>0</v>
      </c>
      <c r="AH153" s="100">
        <f t="shared" si="40"/>
        <v>0</v>
      </c>
      <c r="AI153" s="106"/>
      <c r="AJ153" s="107"/>
      <c r="AK153" s="107"/>
      <c r="AL153" s="107"/>
      <c r="AM153" s="99">
        <v>0</v>
      </c>
      <c r="AN153" s="100">
        <f t="shared" si="41"/>
        <v>0</v>
      </c>
      <c r="AO153" s="108">
        <f t="shared" si="42"/>
        <v>0</v>
      </c>
      <c r="AP153" s="308">
        <f t="shared" si="43"/>
        <v>0</v>
      </c>
    </row>
    <row r="154" spans="1:50" ht="20.45" customHeight="1">
      <c r="A154" s="85" t="s">
        <v>453</v>
      </c>
      <c r="B154" s="86">
        <v>93</v>
      </c>
      <c r="C154" s="87" t="s">
        <v>454</v>
      </c>
      <c r="D154" s="88">
        <v>528340</v>
      </c>
      <c r="E154" s="88"/>
      <c r="F154" s="89" t="s">
        <v>455</v>
      </c>
      <c r="G154" s="109" t="s">
        <v>456</v>
      </c>
      <c r="H154" s="109"/>
      <c r="I154" s="91">
        <v>1</v>
      </c>
      <c r="J154" s="92" t="s">
        <v>51</v>
      </c>
      <c r="K154" s="93">
        <v>1</v>
      </c>
      <c r="L154" s="93" t="s">
        <v>52</v>
      </c>
      <c r="M154" s="116">
        <f>441/10*12</f>
        <v>529.20000000000005</v>
      </c>
      <c r="N154" s="116">
        <f>910/9*12</f>
        <v>1213.3333333333335</v>
      </c>
      <c r="O154" s="116">
        <v>616</v>
      </c>
      <c r="P154" s="94">
        <v>700</v>
      </c>
      <c r="Q154" s="95">
        <v>300</v>
      </c>
      <c r="R154" s="112">
        <v>200</v>
      </c>
      <c r="S154" s="97">
        <v>32.1</v>
      </c>
      <c r="T154" s="98">
        <f t="shared" si="37"/>
        <v>6420</v>
      </c>
      <c r="U154" s="99">
        <v>0</v>
      </c>
      <c r="V154" s="100">
        <f t="shared" si="38"/>
        <v>0</v>
      </c>
      <c r="W154" s="101"/>
      <c r="X154" s="102"/>
      <c r="Y154" s="103"/>
      <c r="Z154" s="103"/>
      <c r="AA154" s="99">
        <v>0</v>
      </c>
      <c r="AB154" s="100">
        <f t="shared" si="39"/>
        <v>0</v>
      </c>
      <c r="AC154" s="104"/>
      <c r="AD154" s="105"/>
      <c r="AE154" s="105"/>
      <c r="AF154" s="105"/>
      <c r="AG154" s="99">
        <v>100</v>
      </c>
      <c r="AH154" s="100">
        <f t="shared" si="40"/>
        <v>3210</v>
      </c>
      <c r="AI154" s="106"/>
      <c r="AJ154" s="107"/>
      <c r="AK154" s="107"/>
      <c r="AL154" s="107"/>
      <c r="AM154" s="99">
        <v>100</v>
      </c>
      <c r="AN154" s="100">
        <f t="shared" si="41"/>
        <v>3210</v>
      </c>
      <c r="AO154" s="108">
        <f t="shared" si="42"/>
        <v>200</v>
      </c>
      <c r="AP154" s="308">
        <f t="shared" si="43"/>
        <v>0</v>
      </c>
    </row>
    <row r="155" spans="1:50" ht="20.45" customHeight="1">
      <c r="A155" s="85" t="s">
        <v>457</v>
      </c>
      <c r="B155" s="86">
        <v>94</v>
      </c>
      <c r="C155" s="87" t="s">
        <v>458</v>
      </c>
      <c r="D155" s="88">
        <v>817156</v>
      </c>
      <c r="E155" s="88"/>
      <c r="F155" s="89" t="s">
        <v>455</v>
      </c>
      <c r="G155" s="109" t="s">
        <v>459</v>
      </c>
      <c r="H155" s="109"/>
      <c r="I155" s="91">
        <v>1</v>
      </c>
      <c r="J155" s="92" t="s">
        <v>51</v>
      </c>
      <c r="K155" s="93">
        <v>1</v>
      </c>
      <c r="L155" s="93" t="s">
        <v>52</v>
      </c>
      <c r="M155" s="116">
        <f>9*12/10</f>
        <v>10.8</v>
      </c>
      <c r="N155" s="116">
        <f>17/9*12</f>
        <v>22.666666666666664</v>
      </c>
      <c r="O155" s="116">
        <v>14.666666666666666</v>
      </c>
      <c r="P155" s="94">
        <v>35</v>
      </c>
      <c r="Q155" s="95">
        <v>35</v>
      </c>
      <c r="R155" s="96">
        <f>P155-Q155</f>
        <v>0</v>
      </c>
      <c r="S155" s="97">
        <v>27.4</v>
      </c>
      <c r="T155" s="98">
        <f t="shared" si="37"/>
        <v>0</v>
      </c>
      <c r="U155" s="99">
        <v>0</v>
      </c>
      <c r="V155" s="100">
        <f t="shared" si="38"/>
        <v>0</v>
      </c>
      <c r="W155" s="101"/>
      <c r="X155" s="102"/>
      <c r="Y155" s="103"/>
      <c r="Z155" s="103"/>
      <c r="AA155" s="99">
        <v>0</v>
      </c>
      <c r="AB155" s="100">
        <f t="shared" si="39"/>
        <v>0</v>
      </c>
      <c r="AC155" s="104"/>
      <c r="AD155" s="105"/>
      <c r="AE155" s="105"/>
      <c r="AF155" s="105"/>
      <c r="AG155" s="99">
        <v>0</v>
      </c>
      <c r="AH155" s="100">
        <f t="shared" si="40"/>
        <v>0</v>
      </c>
      <c r="AI155" s="106"/>
      <c r="AJ155" s="107"/>
      <c r="AK155" s="107"/>
      <c r="AL155" s="107"/>
      <c r="AM155" s="99">
        <v>0</v>
      </c>
      <c r="AN155" s="100">
        <f t="shared" si="41"/>
        <v>0</v>
      </c>
      <c r="AO155" s="108">
        <f t="shared" si="42"/>
        <v>0</v>
      </c>
      <c r="AP155" s="308">
        <f t="shared" si="43"/>
        <v>0</v>
      </c>
    </row>
    <row r="156" spans="1:50" ht="20.45" customHeight="1">
      <c r="A156" s="85" t="s">
        <v>460</v>
      </c>
      <c r="B156" s="86">
        <v>95</v>
      </c>
      <c r="C156" s="87" t="s">
        <v>461</v>
      </c>
      <c r="D156" s="88">
        <v>528579</v>
      </c>
      <c r="E156" s="88"/>
      <c r="F156" s="89" t="s">
        <v>462</v>
      </c>
      <c r="G156" s="109" t="s">
        <v>463</v>
      </c>
      <c r="H156" s="109"/>
      <c r="I156" s="91">
        <v>1</v>
      </c>
      <c r="J156" s="92" t="s">
        <v>51</v>
      </c>
      <c r="K156" s="93">
        <v>1</v>
      </c>
      <c r="L156" s="93" t="s">
        <v>52</v>
      </c>
      <c r="M156" s="116">
        <f>875/10*12</f>
        <v>1050</v>
      </c>
      <c r="N156" s="116">
        <f>965/9*12</f>
        <v>1286.6666666666667</v>
      </c>
      <c r="O156" s="116">
        <v>1629.3333333333333</v>
      </c>
      <c r="P156" s="94">
        <v>1720</v>
      </c>
      <c r="Q156" s="95">
        <v>220</v>
      </c>
      <c r="R156" s="145">
        <v>1200</v>
      </c>
      <c r="S156" s="97">
        <v>16</v>
      </c>
      <c r="T156" s="98">
        <f t="shared" si="37"/>
        <v>19200</v>
      </c>
      <c r="U156" s="99">
        <v>400</v>
      </c>
      <c r="V156" s="100">
        <f t="shared" si="38"/>
        <v>6400</v>
      </c>
      <c r="W156" s="101">
        <v>400</v>
      </c>
      <c r="X156" s="102" t="s">
        <v>53</v>
      </c>
      <c r="Y156" s="103">
        <v>10.5</v>
      </c>
      <c r="Z156" s="103">
        <f>Y156*W156</f>
        <v>4200</v>
      </c>
      <c r="AA156" s="99">
        <v>0</v>
      </c>
      <c r="AB156" s="100">
        <f t="shared" si="39"/>
        <v>0</v>
      </c>
      <c r="AC156" s="104"/>
      <c r="AD156" s="105"/>
      <c r="AE156" s="105"/>
      <c r="AF156" s="105"/>
      <c r="AG156" s="99">
        <v>400</v>
      </c>
      <c r="AH156" s="100">
        <f t="shared" si="40"/>
        <v>6400</v>
      </c>
      <c r="AI156" s="106">
        <v>400</v>
      </c>
      <c r="AJ156" s="107" t="s">
        <v>65</v>
      </c>
      <c r="AK156" s="107">
        <v>14</v>
      </c>
      <c r="AL156" s="107">
        <f t="shared" ref="AL156:AL161" si="45">AK156*AI156</f>
        <v>5600</v>
      </c>
      <c r="AM156" s="99">
        <v>400</v>
      </c>
      <c r="AN156" s="100">
        <f t="shared" si="41"/>
        <v>6400</v>
      </c>
      <c r="AO156" s="108">
        <f t="shared" si="42"/>
        <v>1200</v>
      </c>
      <c r="AP156" s="308">
        <f t="shared" si="43"/>
        <v>9800</v>
      </c>
    </row>
    <row r="157" spans="1:50" ht="20.45" customHeight="1">
      <c r="A157" s="85" t="s">
        <v>464</v>
      </c>
      <c r="B157" s="86">
        <v>96</v>
      </c>
      <c r="C157" s="87" t="s">
        <v>465</v>
      </c>
      <c r="D157" s="88">
        <v>528546</v>
      </c>
      <c r="E157" s="88"/>
      <c r="F157" s="89" t="s">
        <v>462</v>
      </c>
      <c r="G157" s="109" t="s">
        <v>466</v>
      </c>
      <c r="H157" s="109"/>
      <c r="I157" s="91">
        <v>1</v>
      </c>
      <c r="J157" s="92" t="s">
        <v>51</v>
      </c>
      <c r="K157" s="93">
        <v>1</v>
      </c>
      <c r="L157" s="93" t="s">
        <v>52</v>
      </c>
      <c r="M157" s="116">
        <f>83/10*12</f>
        <v>99.600000000000009</v>
      </c>
      <c r="N157" s="116">
        <f>157/9*12</f>
        <v>209.33333333333331</v>
      </c>
      <c r="O157" s="116">
        <v>105.33333333333333</v>
      </c>
      <c r="P157" s="94">
        <v>110</v>
      </c>
      <c r="Q157" s="95">
        <v>70</v>
      </c>
      <c r="R157" s="96">
        <f>P157-Q157</f>
        <v>40</v>
      </c>
      <c r="S157" s="97">
        <v>32.1</v>
      </c>
      <c r="T157" s="98">
        <f t="shared" si="37"/>
        <v>1284</v>
      </c>
      <c r="U157" s="99">
        <v>0</v>
      </c>
      <c r="V157" s="100">
        <f t="shared" si="38"/>
        <v>0</v>
      </c>
      <c r="W157" s="101"/>
      <c r="X157" s="102"/>
      <c r="Y157" s="103"/>
      <c r="Z157" s="103"/>
      <c r="AA157" s="99">
        <v>40</v>
      </c>
      <c r="AB157" s="100">
        <f t="shared" si="39"/>
        <v>1284</v>
      </c>
      <c r="AC157" s="104">
        <v>40</v>
      </c>
      <c r="AD157" s="105" t="s">
        <v>53</v>
      </c>
      <c r="AE157" s="105">
        <v>29.5</v>
      </c>
      <c r="AF157" s="105">
        <f>AE157*AC157</f>
        <v>1180</v>
      </c>
      <c r="AG157" s="99">
        <v>0</v>
      </c>
      <c r="AH157" s="100">
        <f t="shared" si="40"/>
        <v>0</v>
      </c>
      <c r="AI157" s="106"/>
      <c r="AJ157" s="107"/>
      <c r="AK157" s="107"/>
      <c r="AL157" s="107">
        <f t="shared" si="45"/>
        <v>0</v>
      </c>
      <c r="AM157" s="99">
        <v>0</v>
      </c>
      <c r="AN157" s="100">
        <f t="shared" si="41"/>
        <v>0</v>
      </c>
      <c r="AO157" s="108">
        <f t="shared" si="42"/>
        <v>40</v>
      </c>
      <c r="AP157" s="308">
        <f t="shared" si="43"/>
        <v>1180</v>
      </c>
    </row>
    <row r="158" spans="1:50" ht="20.45" customHeight="1">
      <c r="A158" s="85" t="s">
        <v>467</v>
      </c>
      <c r="B158" s="86">
        <v>97</v>
      </c>
      <c r="C158" s="87">
        <v>787671</v>
      </c>
      <c r="D158" s="88">
        <v>528579</v>
      </c>
      <c r="E158" s="88"/>
      <c r="F158" s="117" t="s">
        <v>462</v>
      </c>
      <c r="G158" s="109" t="s">
        <v>468</v>
      </c>
      <c r="H158" s="109"/>
      <c r="I158" s="91">
        <v>1</v>
      </c>
      <c r="J158" s="92" t="s">
        <v>51</v>
      </c>
      <c r="K158" s="93">
        <v>1</v>
      </c>
      <c r="L158" s="93" t="s">
        <v>52</v>
      </c>
      <c r="M158" s="116">
        <f>109/10*12</f>
        <v>130.80000000000001</v>
      </c>
      <c r="N158" s="116">
        <f>134/9*12</f>
        <v>178.66666666666669</v>
      </c>
      <c r="O158" s="116">
        <v>142.66666666666666</v>
      </c>
      <c r="P158" s="94">
        <v>156</v>
      </c>
      <c r="Q158" s="95">
        <v>76</v>
      </c>
      <c r="R158" s="112">
        <v>180</v>
      </c>
      <c r="S158" s="98">
        <v>27</v>
      </c>
      <c r="T158" s="98">
        <f t="shared" si="37"/>
        <v>4860</v>
      </c>
      <c r="U158" s="99">
        <v>0</v>
      </c>
      <c r="V158" s="100">
        <f t="shared" si="38"/>
        <v>0</v>
      </c>
      <c r="W158" s="101"/>
      <c r="X158" s="102"/>
      <c r="Y158" s="103"/>
      <c r="Z158" s="103"/>
      <c r="AA158" s="99">
        <v>80</v>
      </c>
      <c r="AB158" s="100">
        <f t="shared" si="39"/>
        <v>2160</v>
      </c>
      <c r="AC158" s="104">
        <v>80</v>
      </c>
      <c r="AD158" s="105" t="s">
        <v>61</v>
      </c>
      <c r="AE158" s="105">
        <v>19.8</v>
      </c>
      <c r="AF158" s="105">
        <f>AE158*AC158</f>
        <v>1584</v>
      </c>
      <c r="AG158" s="99">
        <v>100</v>
      </c>
      <c r="AH158" s="100">
        <f t="shared" si="40"/>
        <v>2700</v>
      </c>
      <c r="AI158" s="106">
        <v>100</v>
      </c>
      <c r="AJ158" s="107" t="s">
        <v>61</v>
      </c>
      <c r="AK158" s="107">
        <v>19.8</v>
      </c>
      <c r="AL158" s="107">
        <f t="shared" si="45"/>
        <v>1980</v>
      </c>
      <c r="AM158" s="99">
        <v>0</v>
      </c>
      <c r="AN158" s="100">
        <f t="shared" si="41"/>
        <v>0</v>
      </c>
      <c r="AO158" s="108">
        <f t="shared" si="42"/>
        <v>180</v>
      </c>
      <c r="AP158" s="308">
        <f t="shared" si="43"/>
        <v>3564</v>
      </c>
    </row>
    <row r="159" spans="1:50" ht="20.45" customHeight="1">
      <c r="A159" s="85" t="s">
        <v>469</v>
      </c>
      <c r="B159" s="86">
        <v>98</v>
      </c>
      <c r="C159" s="87" t="s">
        <v>470</v>
      </c>
      <c r="D159" s="88">
        <v>557652</v>
      </c>
      <c r="E159" s="88"/>
      <c r="F159" s="89" t="s">
        <v>462</v>
      </c>
      <c r="G159" s="109" t="s">
        <v>471</v>
      </c>
      <c r="H159" s="109"/>
      <c r="I159" s="91">
        <v>1</v>
      </c>
      <c r="J159" s="92" t="s">
        <v>51</v>
      </c>
      <c r="K159" s="93">
        <v>1</v>
      </c>
      <c r="L159" s="93" t="s">
        <v>52</v>
      </c>
      <c r="M159" s="116">
        <f>81/10*12</f>
        <v>97.199999999999989</v>
      </c>
      <c r="N159" s="116">
        <f>146/9*12</f>
        <v>194.66666666666666</v>
      </c>
      <c r="O159" s="116">
        <v>157.33333333333334</v>
      </c>
      <c r="P159" s="94">
        <v>160</v>
      </c>
      <c r="Q159" s="95">
        <v>60</v>
      </c>
      <c r="R159" s="112">
        <v>200</v>
      </c>
      <c r="S159" s="97">
        <v>27.4</v>
      </c>
      <c r="T159" s="98">
        <f t="shared" si="37"/>
        <v>5480</v>
      </c>
      <c r="U159" s="99">
        <v>100</v>
      </c>
      <c r="V159" s="100">
        <f t="shared" si="38"/>
        <v>2740</v>
      </c>
      <c r="W159" s="101">
        <v>100</v>
      </c>
      <c r="X159" s="102" t="s">
        <v>65</v>
      </c>
      <c r="Y159" s="103">
        <v>25</v>
      </c>
      <c r="Z159" s="103">
        <f>Y159*W159</f>
        <v>2500</v>
      </c>
      <c r="AA159" s="99">
        <v>0</v>
      </c>
      <c r="AB159" s="100">
        <f t="shared" si="39"/>
        <v>0</v>
      </c>
      <c r="AC159" s="104"/>
      <c r="AD159" s="105"/>
      <c r="AE159" s="105"/>
      <c r="AF159" s="105"/>
      <c r="AG159" s="99">
        <v>100</v>
      </c>
      <c r="AH159" s="100">
        <f t="shared" si="40"/>
        <v>2740</v>
      </c>
      <c r="AI159" s="106">
        <v>100</v>
      </c>
      <c r="AJ159" s="107" t="s">
        <v>53</v>
      </c>
      <c r="AK159" s="107">
        <v>26</v>
      </c>
      <c r="AL159" s="107">
        <f t="shared" si="45"/>
        <v>2600</v>
      </c>
      <c r="AM159" s="99">
        <v>0</v>
      </c>
      <c r="AN159" s="100">
        <f t="shared" si="41"/>
        <v>0</v>
      </c>
      <c r="AO159" s="108">
        <f t="shared" si="42"/>
        <v>200</v>
      </c>
      <c r="AP159" s="308">
        <f t="shared" si="43"/>
        <v>5100</v>
      </c>
    </row>
    <row r="160" spans="1:50" ht="20.45" customHeight="1">
      <c r="A160" s="85" t="s">
        <v>472</v>
      </c>
      <c r="B160" s="86">
        <v>99</v>
      </c>
      <c r="C160" s="87" t="s">
        <v>473</v>
      </c>
      <c r="D160" s="146">
        <v>317329</v>
      </c>
      <c r="E160" s="146"/>
      <c r="F160" s="89" t="s">
        <v>474</v>
      </c>
      <c r="G160" s="109" t="s">
        <v>475</v>
      </c>
      <c r="H160" s="109"/>
      <c r="I160" s="91">
        <v>1</v>
      </c>
      <c r="J160" s="93" t="s">
        <v>476</v>
      </c>
      <c r="K160" s="93">
        <v>100</v>
      </c>
      <c r="L160" s="93" t="s">
        <v>477</v>
      </c>
      <c r="M160" s="116">
        <f>8/10*12</f>
        <v>9.6000000000000014</v>
      </c>
      <c r="N160" s="116">
        <v>1</v>
      </c>
      <c r="O160" s="116">
        <v>0</v>
      </c>
      <c r="P160" s="94">
        <v>1</v>
      </c>
      <c r="Q160" s="95">
        <v>0</v>
      </c>
      <c r="R160" s="96">
        <f>P160-Q160</f>
        <v>1</v>
      </c>
      <c r="S160" s="147">
        <v>1200</v>
      </c>
      <c r="T160" s="98">
        <f t="shared" si="37"/>
        <v>1200</v>
      </c>
      <c r="U160" s="148">
        <v>0</v>
      </c>
      <c r="V160" s="100">
        <f t="shared" si="38"/>
        <v>0</v>
      </c>
      <c r="W160" s="101"/>
      <c r="X160" s="102"/>
      <c r="Y160" s="103"/>
      <c r="Z160" s="103">
        <f>Y160*W160</f>
        <v>0</v>
      </c>
      <c r="AA160" s="148">
        <v>1</v>
      </c>
      <c r="AB160" s="100">
        <f t="shared" si="39"/>
        <v>1200</v>
      </c>
      <c r="AC160" s="104">
        <v>1</v>
      </c>
      <c r="AD160" s="105" t="s">
        <v>478</v>
      </c>
      <c r="AE160" s="105">
        <v>1200</v>
      </c>
      <c r="AF160" s="105">
        <f>AE160*AC160</f>
        <v>1200</v>
      </c>
      <c r="AG160" s="149">
        <v>0</v>
      </c>
      <c r="AH160" s="100">
        <f t="shared" si="40"/>
        <v>0</v>
      </c>
      <c r="AI160" s="106"/>
      <c r="AJ160" s="107"/>
      <c r="AK160" s="107"/>
      <c r="AL160" s="107">
        <f t="shared" si="45"/>
        <v>0</v>
      </c>
      <c r="AM160" s="99">
        <v>0</v>
      </c>
      <c r="AN160" s="100">
        <f t="shared" si="41"/>
        <v>0</v>
      </c>
      <c r="AO160" s="108">
        <f t="shared" si="42"/>
        <v>1</v>
      </c>
      <c r="AP160" s="308">
        <f t="shared" si="43"/>
        <v>1200</v>
      </c>
    </row>
    <row r="161" spans="1:50" ht="20.45" customHeight="1">
      <c r="A161" s="85" t="s">
        <v>479</v>
      </c>
      <c r="B161" s="86">
        <v>100</v>
      </c>
      <c r="C161" s="87" t="s">
        <v>480</v>
      </c>
      <c r="D161" s="88">
        <v>555733</v>
      </c>
      <c r="E161" s="88"/>
      <c r="F161" s="89" t="s">
        <v>481</v>
      </c>
      <c r="G161" s="113" t="s">
        <v>482</v>
      </c>
      <c r="H161" s="113"/>
      <c r="I161" s="114">
        <v>1</v>
      </c>
      <c r="J161" s="118" t="s">
        <v>88</v>
      </c>
      <c r="K161" s="115">
        <v>1</v>
      </c>
      <c r="L161" s="115" t="s">
        <v>73</v>
      </c>
      <c r="M161" s="138">
        <f>1314/10*12</f>
        <v>1576.8000000000002</v>
      </c>
      <c r="N161" s="138">
        <f>4404/9*12</f>
        <v>5872</v>
      </c>
      <c r="O161" s="138">
        <v>4416</v>
      </c>
      <c r="P161" s="94">
        <v>4580</v>
      </c>
      <c r="Q161" s="95">
        <v>580</v>
      </c>
      <c r="R161" s="96">
        <f>P161-Q161</f>
        <v>4000</v>
      </c>
      <c r="S161" s="150">
        <v>5.35</v>
      </c>
      <c r="T161" s="98">
        <f t="shared" si="37"/>
        <v>21400</v>
      </c>
      <c r="U161" s="138">
        <v>1000</v>
      </c>
      <c r="V161" s="100">
        <f t="shared" si="38"/>
        <v>5350</v>
      </c>
      <c r="W161" s="101">
        <v>1000</v>
      </c>
      <c r="X161" s="102" t="s">
        <v>483</v>
      </c>
      <c r="Y161" s="103">
        <v>4.0999999999999996</v>
      </c>
      <c r="Z161" s="103">
        <f>Y161*W161</f>
        <v>4100</v>
      </c>
      <c r="AA161" s="138">
        <v>1000</v>
      </c>
      <c r="AB161" s="100">
        <f t="shared" si="39"/>
        <v>5350</v>
      </c>
      <c r="AC161" s="104">
        <v>1000</v>
      </c>
      <c r="AD161" s="105" t="s">
        <v>483</v>
      </c>
      <c r="AE161" s="105">
        <v>4.0999999999999996</v>
      </c>
      <c r="AF161" s="105">
        <f>AE161*AC161</f>
        <v>4100</v>
      </c>
      <c r="AG161" s="138">
        <v>1000</v>
      </c>
      <c r="AH161" s="100">
        <f t="shared" si="40"/>
        <v>5350</v>
      </c>
      <c r="AI161" s="106">
        <v>1000</v>
      </c>
      <c r="AJ161" s="107" t="s">
        <v>483</v>
      </c>
      <c r="AK161" s="107">
        <v>4.0999999999999996</v>
      </c>
      <c r="AL161" s="107">
        <f t="shared" si="45"/>
        <v>4100</v>
      </c>
      <c r="AM161" s="138">
        <v>1000</v>
      </c>
      <c r="AN161" s="100">
        <f t="shared" si="41"/>
        <v>5350</v>
      </c>
      <c r="AO161" s="108">
        <f t="shared" si="42"/>
        <v>4000</v>
      </c>
      <c r="AP161" s="308">
        <f t="shared" si="43"/>
        <v>12300</v>
      </c>
    </row>
    <row r="162" spans="1:50" ht="20.45" customHeight="1">
      <c r="A162" s="85" t="s">
        <v>484</v>
      </c>
      <c r="B162" s="86">
        <v>101</v>
      </c>
      <c r="C162" s="87" t="s">
        <v>485</v>
      </c>
      <c r="D162" s="88">
        <v>247385</v>
      </c>
      <c r="E162" s="88"/>
      <c r="F162" s="89" t="s">
        <v>486</v>
      </c>
      <c r="G162" s="109" t="s">
        <v>487</v>
      </c>
      <c r="H162" s="109"/>
      <c r="I162" s="91">
        <v>1</v>
      </c>
      <c r="J162" s="92" t="s">
        <v>83</v>
      </c>
      <c r="K162" s="93">
        <v>1000</v>
      </c>
      <c r="L162" s="93" t="s">
        <v>84</v>
      </c>
      <c r="M162" s="116">
        <f>32/10*12</f>
        <v>38.400000000000006</v>
      </c>
      <c r="N162" s="116">
        <f>41/9*12</f>
        <v>54.666666666666664</v>
      </c>
      <c r="O162" s="116">
        <v>57.333333333333336</v>
      </c>
      <c r="P162" s="94">
        <v>60</v>
      </c>
      <c r="Q162" s="95">
        <v>0</v>
      </c>
      <c r="R162" s="112">
        <v>45</v>
      </c>
      <c r="S162" s="97">
        <v>400</v>
      </c>
      <c r="T162" s="98">
        <f t="shared" si="37"/>
        <v>18000</v>
      </c>
      <c r="U162" s="99">
        <v>0</v>
      </c>
      <c r="V162" s="100">
        <f t="shared" si="38"/>
        <v>0</v>
      </c>
      <c r="W162" s="101"/>
      <c r="X162" s="102"/>
      <c r="Y162" s="103"/>
      <c r="Z162" s="103"/>
      <c r="AA162" s="99">
        <v>15</v>
      </c>
      <c r="AB162" s="100">
        <f t="shared" si="39"/>
        <v>6000</v>
      </c>
      <c r="AC162" s="104">
        <v>15</v>
      </c>
      <c r="AD162" s="105" t="s">
        <v>488</v>
      </c>
      <c r="AE162" s="105">
        <v>250.38</v>
      </c>
      <c r="AF162" s="105">
        <f>AE162*AC162</f>
        <v>3755.7</v>
      </c>
      <c r="AG162" s="99">
        <v>15</v>
      </c>
      <c r="AH162" s="100">
        <f t="shared" si="40"/>
        <v>6000</v>
      </c>
      <c r="AI162" s="106"/>
      <c r="AJ162" s="107"/>
      <c r="AK162" s="107"/>
      <c r="AL162" s="107"/>
      <c r="AM162" s="99">
        <v>15</v>
      </c>
      <c r="AN162" s="100">
        <f t="shared" si="41"/>
        <v>6000</v>
      </c>
      <c r="AO162" s="108">
        <f t="shared" si="42"/>
        <v>45</v>
      </c>
      <c r="AP162" s="308">
        <f t="shared" si="43"/>
        <v>3755.7</v>
      </c>
      <c r="AT162" s="151"/>
      <c r="AU162" s="151"/>
      <c r="AV162" s="151"/>
      <c r="AW162" s="151"/>
      <c r="AX162" s="151"/>
    </row>
    <row r="163" spans="1:50" s="121" customFormat="1" ht="20.45" customHeight="1">
      <c r="A163" s="85" t="s">
        <v>489</v>
      </c>
      <c r="B163" s="86">
        <v>102</v>
      </c>
      <c r="C163" s="87" t="s">
        <v>490</v>
      </c>
      <c r="D163" s="88">
        <v>560396</v>
      </c>
      <c r="E163" s="88"/>
      <c r="F163" s="89" t="s">
        <v>491</v>
      </c>
      <c r="G163" s="109" t="s">
        <v>492</v>
      </c>
      <c r="H163" s="109" t="s">
        <v>110</v>
      </c>
      <c r="I163" s="91">
        <v>1</v>
      </c>
      <c r="J163" s="92" t="s">
        <v>88</v>
      </c>
      <c r="K163" s="93">
        <v>1</v>
      </c>
      <c r="L163" s="93" t="s">
        <v>73</v>
      </c>
      <c r="M163" s="116">
        <f>669/10*12</f>
        <v>802.80000000000007</v>
      </c>
      <c r="N163" s="116">
        <f>650/9*12</f>
        <v>866.66666666666674</v>
      </c>
      <c r="O163" s="116">
        <v>933.33333333333337</v>
      </c>
      <c r="P163" s="94">
        <v>1000</v>
      </c>
      <c r="Q163" s="95">
        <v>0</v>
      </c>
      <c r="R163" s="96">
        <f>P163-Q163</f>
        <v>1000</v>
      </c>
      <c r="S163" s="97">
        <v>8.83</v>
      </c>
      <c r="T163" s="98">
        <f t="shared" si="37"/>
        <v>8830</v>
      </c>
      <c r="U163" s="99">
        <v>0</v>
      </c>
      <c r="V163" s="100">
        <f t="shared" si="38"/>
        <v>0</v>
      </c>
      <c r="W163" s="101"/>
      <c r="X163" s="102"/>
      <c r="Y163" s="103"/>
      <c r="Z163" s="103"/>
      <c r="AA163" s="99">
        <v>500</v>
      </c>
      <c r="AB163" s="100">
        <f t="shared" si="39"/>
        <v>4415</v>
      </c>
      <c r="AC163" s="104">
        <v>500</v>
      </c>
      <c r="AD163" s="105" t="s">
        <v>110</v>
      </c>
      <c r="AE163" s="105">
        <f>441.5/50</f>
        <v>8.83</v>
      </c>
      <c r="AF163" s="105">
        <f>AE163*AC163</f>
        <v>4415</v>
      </c>
      <c r="AG163" s="99">
        <v>0</v>
      </c>
      <c r="AH163" s="100">
        <f t="shared" si="40"/>
        <v>0</v>
      </c>
      <c r="AI163" s="106"/>
      <c r="AJ163" s="107"/>
      <c r="AK163" s="107"/>
      <c r="AL163" s="107"/>
      <c r="AM163" s="99">
        <v>500</v>
      </c>
      <c r="AN163" s="100">
        <f t="shared" si="41"/>
        <v>4415</v>
      </c>
      <c r="AO163" s="108">
        <f t="shared" si="42"/>
        <v>1000</v>
      </c>
      <c r="AP163" s="308">
        <f t="shared" si="43"/>
        <v>4415</v>
      </c>
      <c r="AQ163" s="3"/>
      <c r="AR163" s="3"/>
      <c r="AS163" s="3"/>
      <c r="AT163" s="151"/>
      <c r="AU163" s="151"/>
      <c r="AV163" s="151"/>
      <c r="AW163" s="151"/>
      <c r="AX163" s="151"/>
    </row>
    <row r="164" spans="1:50" ht="20.45" customHeight="1">
      <c r="A164" s="85" t="s">
        <v>493</v>
      </c>
      <c r="B164" s="86">
        <v>103</v>
      </c>
      <c r="C164" s="87" t="s">
        <v>494</v>
      </c>
      <c r="D164" s="88">
        <v>255995</v>
      </c>
      <c r="E164" s="88"/>
      <c r="F164" s="89" t="s">
        <v>495</v>
      </c>
      <c r="G164" s="109" t="s">
        <v>496</v>
      </c>
      <c r="H164" s="109" t="s">
        <v>110</v>
      </c>
      <c r="I164" s="91">
        <v>1</v>
      </c>
      <c r="J164" s="92" t="s">
        <v>83</v>
      </c>
      <c r="K164" s="93">
        <v>1000</v>
      </c>
      <c r="L164" s="93" t="s">
        <v>84</v>
      </c>
      <c r="M164" s="116">
        <f>14.5/10*12</f>
        <v>17.399999999999999</v>
      </c>
      <c r="N164" s="116">
        <f>11.5/9*12</f>
        <v>15.333333333333332</v>
      </c>
      <c r="O164" s="116">
        <v>16.666666666666668</v>
      </c>
      <c r="P164" s="94">
        <v>17</v>
      </c>
      <c r="Q164" s="95">
        <v>0</v>
      </c>
      <c r="R164" s="96">
        <f>P164-Q164</f>
        <v>17</v>
      </c>
      <c r="S164" s="152">
        <v>180</v>
      </c>
      <c r="T164" s="98">
        <f t="shared" si="37"/>
        <v>3060</v>
      </c>
      <c r="U164" s="99">
        <v>6</v>
      </c>
      <c r="V164" s="100">
        <f t="shared" si="38"/>
        <v>1080</v>
      </c>
      <c r="W164" s="101">
        <v>6</v>
      </c>
      <c r="X164" s="102" t="s">
        <v>110</v>
      </c>
      <c r="Y164" s="103">
        <f>2*85.6</f>
        <v>171.2</v>
      </c>
      <c r="Z164" s="103">
        <f>Y164*W164</f>
        <v>1027.1999999999998</v>
      </c>
      <c r="AA164" s="99">
        <v>0</v>
      </c>
      <c r="AB164" s="100">
        <f t="shared" si="39"/>
        <v>0</v>
      </c>
      <c r="AC164" s="104"/>
      <c r="AD164" s="105"/>
      <c r="AE164" s="105"/>
      <c r="AF164" s="105"/>
      <c r="AG164" s="99">
        <v>6</v>
      </c>
      <c r="AH164" s="100">
        <f t="shared" si="40"/>
        <v>1080</v>
      </c>
      <c r="AI164" s="106"/>
      <c r="AJ164" s="107"/>
      <c r="AK164" s="107"/>
      <c r="AL164" s="107"/>
      <c r="AM164" s="99">
        <v>5</v>
      </c>
      <c r="AN164" s="100">
        <f t="shared" si="41"/>
        <v>900</v>
      </c>
      <c r="AO164" s="108">
        <f t="shared" si="42"/>
        <v>17</v>
      </c>
      <c r="AP164" s="308">
        <f t="shared" si="43"/>
        <v>1027.1999999999998</v>
      </c>
    </row>
    <row r="165" spans="1:50" ht="20.45" customHeight="1">
      <c r="A165" s="85" t="s">
        <v>497</v>
      </c>
      <c r="B165" s="86">
        <v>104</v>
      </c>
      <c r="C165" s="87" t="s">
        <v>498</v>
      </c>
      <c r="D165" s="88">
        <v>256041</v>
      </c>
      <c r="E165" s="88"/>
      <c r="F165" s="89" t="s">
        <v>499</v>
      </c>
      <c r="G165" s="109" t="s">
        <v>500</v>
      </c>
      <c r="H165" s="109" t="s">
        <v>110</v>
      </c>
      <c r="I165" s="91">
        <v>1</v>
      </c>
      <c r="J165" s="92" t="s">
        <v>83</v>
      </c>
      <c r="K165" s="93">
        <v>1000</v>
      </c>
      <c r="L165" s="93" t="s">
        <v>84</v>
      </c>
      <c r="M165" s="116">
        <f>16/10*12</f>
        <v>19.200000000000003</v>
      </c>
      <c r="N165" s="116">
        <f>13/9*12</f>
        <v>17.333333333333332</v>
      </c>
      <c r="O165" s="116">
        <v>10.666666666666666</v>
      </c>
      <c r="P165" s="94">
        <v>12</v>
      </c>
      <c r="Q165" s="95">
        <v>2</v>
      </c>
      <c r="R165" s="96">
        <f>P165-Q165</f>
        <v>10</v>
      </c>
      <c r="S165" s="131">
        <v>250</v>
      </c>
      <c r="T165" s="98">
        <f t="shared" si="37"/>
        <v>2500</v>
      </c>
      <c r="U165" s="99">
        <v>5</v>
      </c>
      <c r="V165" s="100">
        <f t="shared" si="38"/>
        <v>1250</v>
      </c>
      <c r="W165" s="101">
        <v>5</v>
      </c>
      <c r="X165" s="102" t="s">
        <v>110</v>
      </c>
      <c r="Y165" s="103">
        <v>246.1</v>
      </c>
      <c r="Z165" s="103">
        <f>Y165*W165</f>
        <v>1230.5</v>
      </c>
      <c r="AA165" s="99">
        <v>0</v>
      </c>
      <c r="AB165" s="100">
        <f t="shared" si="39"/>
        <v>0</v>
      </c>
      <c r="AC165" s="104"/>
      <c r="AD165" s="105"/>
      <c r="AE165" s="105"/>
      <c r="AF165" s="105"/>
      <c r="AG165" s="99">
        <v>5</v>
      </c>
      <c r="AH165" s="100">
        <f t="shared" si="40"/>
        <v>1250</v>
      </c>
      <c r="AI165" s="106">
        <v>5</v>
      </c>
      <c r="AJ165" s="107" t="s">
        <v>110</v>
      </c>
      <c r="AK165" s="107">
        <v>246.1</v>
      </c>
      <c r="AL165" s="107">
        <f>AK165*AI165</f>
        <v>1230.5</v>
      </c>
      <c r="AM165" s="99">
        <v>0</v>
      </c>
      <c r="AN165" s="100">
        <f t="shared" si="41"/>
        <v>0</v>
      </c>
      <c r="AO165" s="108">
        <f t="shared" si="42"/>
        <v>10</v>
      </c>
      <c r="AP165" s="308">
        <f t="shared" si="43"/>
        <v>2461</v>
      </c>
    </row>
    <row r="166" spans="1:50" ht="20.45" customHeight="1">
      <c r="A166" s="85" t="s">
        <v>501</v>
      </c>
      <c r="B166" s="86">
        <v>105</v>
      </c>
      <c r="C166" s="87" t="s">
        <v>502</v>
      </c>
      <c r="D166" s="88">
        <v>238127</v>
      </c>
      <c r="E166" s="88"/>
      <c r="F166" s="89" t="s">
        <v>503</v>
      </c>
      <c r="G166" s="109" t="s">
        <v>504</v>
      </c>
      <c r="H166" s="109" t="s">
        <v>110</v>
      </c>
      <c r="I166" s="91">
        <v>1</v>
      </c>
      <c r="J166" s="92" t="s">
        <v>184</v>
      </c>
      <c r="K166" s="93">
        <v>1000</v>
      </c>
      <c r="L166" s="93" t="s">
        <v>185</v>
      </c>
      <c r="M166" s="116">
        <f>83.5/10*12</f>
        <v>100.19999999999999</v>
      </c>
      <c r="N166" s="116">
        <f>76.5/9*12</f>
        <v>102</v>
      </c>
      <c r="O166" s="116">
        <v>116.66666666666667</v>
      </c>
      <c r="P166" s="94">
        <v>110</v>
      </c>
      <c r="Q166" s="95">
        <v>10</v>
      </c>
      <c r="R166" s="96">
        <f>P166-Q166</f>
        <v>100</v>
      </c>
      <c r="S166" s="97">
        <v>1110</v>
      </c>
      <c r="T166" s="98">
        <f t="shared" si="37"/>
        <v>111000</v>
      </c>
      <c r="U166" s="99">
        <v>50</v>
      </c>
      <c r="V166" s="100">
        <f t="shared" si="38"/>
        <v>55500</v>
      </c>
      <c r="W166" s="101">
        <f>2*25</f>
        <v>50</v>
      </c>
      <c r="X166" s="102" t="s">
        <v>197</v>
      </c>
      <c r="Y166" s="103">
        <v>860</v>
      </c>
      <c r="Z166" s="103">
        <f>Y166*W166</f>
        <v>43000</v>
      </c>
      <c r="AA166" s="99">
        <v>0</v>
      </c>
      <c r="AB166" s="100">
        <f t="shared" si="39"/>
        <v>0</v>
      </c>
      <c r="AC166" s="104"/>
      <c r="AD166" s="105"/>
      <c r="AE166" s="105"/>
      <c r="AF166" s="105"/>
      <c r="AG166" s="99">
        <v>25</v>
      </c>
      <c r="AH166" s="100">
        <f t="shared" si="40"/>
        <v>27750</v>
      </c>
      <c r="AI166" s="106">
        <v>25</v>
      </c>
      <c r="AJ166" s="107" t="s">
        <v>197</v>
      </c>
      <c r="AK166" s="107">
        <v>860</v>
      </c>
      <c r="AL166" s="107">
        <f>AK166*AI166</f>
        <v>21500</v>
      </c>
      <c r="AM166" s="99">
        <v>25</v>
      </c>
      <c r="AN166" s="100">
        <f t="shared" si="41"/>
        <v>27750</v>
      </c>
      <c r="AO166" s="108">
        <f t="shared" si="42"/>
        <v>100</v>
      </c>
      <c r="AP166" s="308">
        <f t="shared" si="43"/>
        <v>64500</v>
      </c>
    </row>
    <row r="167" spans="1:50" ht="20.45" customHeight="1">
      <c r="A167" s="85" t="s">
        <v>505</v>
      </c>
      <c r="B167" s="86">
        <v>106</v>
      </c>
      <c r="C167" s="87" t="s">
        <v>506</v>
      </c>
      <c r="D167" s="88">
        <v>610966</v>
      </c>
      <c r="E167" s="88"/>
      <c r="F167" s="89" t="s">
        <v>507</v>
      </c>
      <c r="G167" s="109" t="s">
        <v>508</v>
      </c>
      <c r="H167" s="109"/>
      <c r="I167" s="91">
        <v>1</v>
      </c>
      <c r="J167" s="92" t="s">
        <v>115</v>
      </c>
      <c r="K167" s="93">
        <v>1</v>
      </c>
      <c r="L167" s="93" t="s">
        <v>196</v>
      </c>
      <c r="M167" s="116">
        <f>849/10*12</f>
        <v>1018.8000000000001</v>
      </c>
      <c r="N167" s="116">
        <f>476/9*12</f>
        <v>634.66666666666663</v>
      </c>
      <c r="O167" s="116">
        <v>1528</v>
      </c>
      <c r="P167" s="94">
        <v>1600</v>
      </c>
      <c r="Q167" s="95">
        <v>0</v>
      </c>
      <c r="R167" s="112">
        <v>1200</v>
      </c>
      <c r="S167" s="97">
        <v>22.47</v>
      </c>
      <c r="T167" s="98">
        <f t="shared" si="37"/>
        <v>26964</v>
      </c>
      <c r="U167" s="99">
        <v>0</v>
      </c>
      <c r="V167" s="100">
        <f t="shared" si="38"/>
        <v>0</v>
      </c>
      <c r="W167" s="101"/>
      <c r="X167" s="102"/>
      <c r="Y167" s="103"/>
      <c r="Z167" s="103">
        <f>Y167*W167</f>
        <v>0</v>
      </c>
      <c r="AA167" s="99">
        <v>400</v>
      </c>
      <c r="AB167" s="100">
        <f t="shared" si="39"/>
        <v>8988</v>
      </c>
      <c r="AC167" s="104">
        <v>400</v>
      </c>
      <c r="AD167" s="105" t="s">
        <v>509</v>
      </c>
      <c r="AE167" s="105">
        <f>850/50</f>
        <v>17</v>
      </c>
      <c r="AF167" s="105">
        <f>AE167*AC167</f>
        <v>6800</v>
      </c>
      <c r="AG167" s="99">
        <v>400</v>
      </c>
      <c r="AH167" s="100">
        <f t="shared" si="40"/>
        <v>8988</v>
      </c>
      <c r="AI167" s="106"/>
      <c r="AJ167" s="107"/>
      <c r="AK167" s="107"/>
      <c r="AL167" s="107">
        <f>AK167*AI167</f>
        <v>0</v>
      </c>
      <c r="AM167" s="99">
        <v>400</v>
      </c>
      <c r="AN167" s="100">
        <f t="shared" si="41"/>
        <v>8988</v>
      </c>
      <c r="AO167" s="108">
        <f t="shared" si="42"/>
        <v>1200</v>
      </c>
      <c r="AP167" s="308">
        <f t="shared" si="43"/>
        <v>6800</v>
      </c>
    </row>
    <row r="168" spans="1:50" ht="20.45" customHeight="1">
      <c r="A168" s="85" t="s">
        <v>510</v>
      </c>
      <c r="B168" s="86">
        <v>107</v>
      </c>
      <c r="C168" s="87" t="s">
        <v>511</v>
      </c>
      <c r="D168" s="88">
        <v>312490</v>
      </c>
      <c r="E168" s="88"/>
      <c r="F168" s="89" t="s">
        <v>512</v>
      </c>
      <c r="G168" s="109" t="s">
        <v>513</v>
      </c>
      <c r="H168" s="109"/>
      <c r="I168" s="153">
        <v>1</v>
      </c>
      <c r="J168" s="92" t="s">
        <v>83</v>
      </c>
      <c r="K168" s="93">
        <v>1000</v>
      </c>
      <c r="L168" s="93" t="s">
        <v>84</v>
      </c>
      <c r="M168" s="116">
        <f>28/10*12</f>
        <v>33.599999999999994</v>
      </c>
      <c r="N168" s="116">
        <f>27/9*12</f>
        <v>36</v>
      </c>
      <c r="O168" s="116">
        <v>40</v>
      </c>
      <c r="P168" s="94">
        <v>40</v>
      </c>
      <c r="Q168" s="95">
        <v>0</v>
      </c>
      <c r="R168" s="112">
        <v>50</v>
      </c>
      <c r="S168" s="97">
        <v>400</v>
      </c>
      <c r="T168" s="98">
        <f t="shared" si="37"/>
        <v>20000</v>
      </c>
      <c r="U168" s="99">
        <v>10</v>
      </c>
      <c r="V168" s="100">
        <f t="shared" si="38"/>
        <v>4000</v>
      </c>
      <c r="W168" s="101">
        <v>10</v>
      </c>
      <c r="X168" s="102" t="s">
        <v>249</v>
      </c>
      <c r="Y168" s="103">
        <v>400</v>
      </c>
      <c r="Z168" s="103">
        <f>Y168*W168</f>
        <v>4000</v>
      </c>
      <c r="AA168" s="99">
        <v>20</v>
      </c>
      <c r="AB168" s="100">
        <f t="shared" si="39"/>
        <v>8000</v>
      </c>
      <c r="AC168" s="104">
        <f>2*10</f>
        <v>20</v>
      </c>
      <c r="AD168" s="105" t="s">
        <v>249</v>
      </c>
      <c r="AE168" s="105">
        <v>400</v>
      </c>
      <c r="AF168" s="105">
        <f>AE168*AC168</f>
        <v>8000</v>
      </c>
      <c r="AG168" s="99">
        <v>10</v>
      </c>
      <c r="AH168" s="100">
        <f t="shared" si="40"/>
        <v>4000</v>
      </c>
      <c r="AI168" s="106">
        <v>10</v>
      </c>
      <c r="AJ168" s="107" t="s">
        <v>249</v>
      </c>
      <c r="AK168" s="107">
        <v>400</v>
      </c>
      <c r="AL168" s="107">
        <f>AK168*AI168</f>
        <v>4000</v>
      </c>
      <c r="AM168" s="99">
        <v>10</v>
      </c>
      <c r="AN168" s="100">
        <f t="shared" si="41"/>
        <v>4000</v>
      </c>
      <c r="AO168" s="108">
        <f t="shared" si="42"/>
        <v>50</v>
      </c>
      <c r="AP168" s="308">
        <f t="shared" si="43"/>
        <v>16000</v>
      </c>
    </row>
    <row r="169" spans="1:50" ht="20.45" customHeight="1">
      <c r="A169" s="85" t="s">
        <v>514</v>
      </c>
      <c r="B169" s="86">
        <v>108</v>
      </c>
      <c r="C169" s="87" t="s">
        <v>515</v>
      </c>
      <c r="D169" s="88">
        <v>767906</v>
      </c>
      <c r="E169" s="88"/>
      <c r="F169" s="89" t="s">
        <v>516</v>
      </c>
      <c r="G169" s="109" t="s">
        <v>517</v>
      </c>
      <c r="H169" s="109"/>
      <c r="I169" s="91">
        <v>1</v>
      </c>
      <c r="J169" s="92" t="s">
        <v>88</v>
      </c>
      <c r="K169" s="93">
        <v>1</v>
      </c>
      <c r="L169" s="93" t="s">
        <v>73</v>
      </c>
      <c r="M169" s="116">
        <v>40</v>
      </c>
      <c r="N169" s="116">
        <v>30</v>
      </c>
      <c r="O169" s="116">
        <v>53.333333333333336</v>
      </c>
      <c r="P169" s="94">
        <v>60</v>
      </c>
      <c r="Q169" s="95">
        <v>20</v>
      </c>
      <c r="R169" s="112">
        <v>20</v>
      </c>
      <c r="S169" s="97">
        <v>35.1</v>
      </c>
      <c r="T169" s="98">
        <f t="shared" si="37"/>
        <v>702</v>
      </c>
      <c r="U169" s="99">
        <v>0</v>
      </c>
      <c r="V169" s="100">
        <f t="shared" si="38"/>
        <v>0</v>
      </c>
      <c r="W169" s="101"/>
      <c r="X169" s="102"/>
      <c r="Y169" s="103"/>
      <c r="Z169" s="103"/>
      <c r="AA169" s="99">
        <v>0</v>
      </c>
      <c r="AB169" s="100">
        <f t="shared" si="39"/>
        <v>0</v>
      </c>
      <c r="AC169" s="104"/>
      <c r="AD169" s="105"/>
      <c r="AE169" s="105"/>
      <c r="AF169" s="105"/>
      <c r="AG169" s="99">
        <v>20</v>
      </c>
      <c r="AH169" s="100">
        <f t="shared" si="40"/>
        <v>702</v>
      </c>
      <c r="AI169" s="106"/>
      <c r="AJ169" s="107"/>
      <c r="AK169" s="107"/>
      <c r="AL169" s="107"/>
      <c r="AM169" s="99">
        <v>0</v>
      </c>
      <c r="AN169" s="100">
        <f t="shared" si="41"/>
        <v>0</v>
      </c>
      <c r="AO169" s="108">
        <f t="shared" si="42"/>
        <v>20</v>
      </c>
      <c r="AP169" s="308">
        <f t="shared" si="43"/>
        <v>0</v>
      </c>
    </row>
    <row r="170" spans="1:50" ht="20.45" customHeight="1">
      <c r="A170" s="85" t="s">
        <v>518</v>
      </c>
      <c r="B170" s="86">
        <v>109</v>
      </c>
      <c r="C170" s="87" t="s">
        <v>519</v>
      </c>
      <c r="D170" s="88">
        <v>273063</v>
      </c>
      <c r="E170" s="88"/>
      <c r="F170" s="89" t="s">
        <v>520</v>
      </c>
      <c r="G170" s="109" t="s">
        <v>521</v>
      </c>
      <c r="H170" s="109"/>
      <c r="I170" s="91">
        <v>1</v>
      </c>
      <c r="J170" s="92" t="s">
        <v>83</v>
      </c>
      <c r="K170" s="93">
        <v>1000</v>
      </c>
      <c r="L170" s="93" t="s">
        <v>84</v>
      </c>
      <c r="M170" s="116">
        <f>13/10*12</f>
        <v>15.600000000000001</v>
      </c>
      <c r="N170" s="116">
        <f>9/9*12</f>
        <v>12</v>
      </c>
      <c r="O170" s="116">
        <v>12</v>
      </c>
      <c r="P170" s="94">
        <v>12</v>
      </c>
      <c r="Q170" s="95">
        <v>0</v>
      </c>
      <c r="R170" s="96">
        <f t="shared" ref="R170:R180" si="46">P170-Q170</f>
        <v>12</v>
      </c>
      <c r="S170" s="152">
        <v>400</v>
      </c>
      <c r="T170" s="98">
        <f t="shared" si="37"/>
        <v>4800</v>
      </c>
      <c r="U170" s="99">
        <v>6</v>
      </c>
      <c r="V170" s="100">
        <f t="shared" si="38"/>
        <v>2400</v>
      </c>
      <c r="W170" s="101">
        <v>6</v>
      </c>
      <c r="X170" s="102" t="s">
        <v>522</v>
      </c>
      <c r="Y170" s="103">
        <v>320</v>
      </c>
      <c r="Z170" s="103">
        <f t="shared" ref="Z170:Z175" si="47">Y170*W170</f>
        <v>1920</v>
      </c>
      <c r="AA170" s="99">
        <v>0</v>
      </c>
      <c r="AB170" s="100">
        <f t="shared" si="39"/>
        <v>0</v>
      </c>
      <c r="AC170" s="104"/>
      <c r="AD170" s="105"/>
      <c r="AE170" s="105"/>
      <c r="AF170" s="105"/>
      <c r="AG170" s="99">
        <v>6</v>
      </c>
      <c r="AH170" s="100">
        <f t="shared" si="40"/>
        <v>2400</v>
      </c>
      <c r="AI170" s="106"/>
      <c r="AJ170" s="107"/>
      <c r="AK170" s="107"/>
      <c r="AL170" s="107"/>
      <c r="AM170" s="99">
        <v>0</v>
      </c>
      <c r="AN170" s="100">
        <f t="shared" si="41"/>
        <v>0</v>
      </c>
      <c r="AO170" s="108">
        <f t="shared" si="42"/>
        <v>12</v>
      </c>
      <c r="AP170" s="308">
        <f t="shared" si="43"/>
        <v>1920</v>
      </c>
    </row>
    <row r="171" spans="1:50" ht="20.45" customHeight="1">
      <c r="A171" s="85" t="s">
        <v>523</v>
      </c>
      <c r="B171" s="86">
        <v>110</v>
      </c>
      <c r="C171" s="87" t="s">
        <v>524</v>
      </c>
      <c r="D171" s="88">
        <v>560723</v>
      </c>
      <c r="E171" s="88"/>
      <c r="F171" s="89" t="s">
        <v>525</v>
      </c>
      <c r="G171" s="109" t="s">
        <v>526</v>
      </c>
      <c r="H171" s="109"/>
      <c r="I171" s="91">
        <v>1</v>
      </c>
      <c r="J171" s="92" t="s">
        <v>88</v>
      </c>
      <c r="K171" s="93">
        <v>1</v>
      </c>
      <c r="L171" s="93" t="s">
        <v>73</v>
      </c>
      <c r="M171" s="116">
        <f>1459/10*12</f>
        <v>1750.8000000000002</v>
      </c>
      <c r="N171" s="116">
        <f>1118/9*12</f>
        <v>1490.6666666666667</v>
      </c>
      <c r="O171" s="116">
        <v>1882.6666666666667</v>
      </c>
      <c r="P171" s="94">
        <v>2000</v>
      </c>
      <c r="Q171" s="133">
        <v>0</v>
      </c>
      <c r="R171" s="96">
        <f t="shared" si="46"/>
        <v>2000</v>
      </c>
      <c r="S171" s="97">
        <v>5</v>
      </c>
      <c r="T171" s="98">
        <f t="shared" si="37"/>
        <v>10000</v>
      </c>
      <c r="U171" s="99">
        <v>1000</v>
      </c>
      <c r="V171" s="100">
        <f t="shared" si="38"/>
        <v>5000</v>
      </c>
      <c r="W171" s="101">
        <v>1000</v>
      </c>
      <c r="X171" s="102" t="s">
        <v>337</v>
      </c>
      <c r="Y171" s="103">
        <v>5</v>
      </c>
      <c r="Z171" s="103">
        <f t="shared" si="47"/>
        <v>5000</v>
      </c>
      <c r="AA171" s="99">
        <v>0</v>
      </c>
      <c r="AB171" s="100">
        <f t="shared" si="39"/>
        <v>0</v>
      </c>
      <c r="AC171" s="104"/>
      <c r="AD171" s="105"/>
      <c r="AE171" s="105"/>
      <c r="AF171" s="105"/>
      <c r="AG171" s="99">
        <v>1000</v>
      </c>
      <c r="AH171" s="100">
        <f t="shared" si="40"/>
        <v>5000</v>
      </c>
      <c r="AI171" s="106"/>
      <c r="AJ171" s="107"/>
      <c r="AK171" s="107"/>
      <c r="AL171" s="107"/>
      <c r="AM171" s="99">
        <v>0</v>
      </c>
      <c r="AN171" s="100">
        <f t="shared" si="41"/>
        <v>0</v>
      </c>
      <c r="AO171" s="108">
        <f t="shared" si="42"/>
        <v>2000</v>
      </c>
      <c r="AP171" s="308">
        <f t="shared" si="43"/>
        <v>5000</v>
      </c>
    </row>
    <row r="172" spans="1:50" ht="20.45" customHeight="1">
      <c r="A172" s="85" t="s">
        <v>527</v>
      </c>
      <c r="B172" s="86">
        <v>111</v>
      </c>
      <c r="C172" s="87" t="s">
        <v>528</v>
      </c>
      <c r="D172" s="88">
        <v>266509</v>
      </c>
      <c r="E172" s="88"/>
      <c r="F172" s="89" t="s">
        <v>529</v>
      </c>
      <c r="G172" s="109" t="s">
        <v>530</v>
      </c>
      <c r="H172" s="109"/>
      <c r="I172" s="91">
        <v>1</v>
      </c>
      <c r="J172" s="92" t="s">
        <v>83</v>
      </c>
      <c r="K172" s="93">
        <v>1000</v>
      </c>
      <c r="L172" s="93" t="s">
        <v>84</v>
      </c>
      <c r="M172" s="116">
        <f>76/10*12</f>
        <v>91.199999999999989</v>
      </c>
      <c r="N172" s="116">
        <f>44/9*12</f>
        <v>58.666666666666671</v>
      </c>
      <c r="O172" s="116">
        <v>76</v>
      </c>
      <c r="P172" s="94">
        <v>80</v>
      </c>
      <c r="Q172" s="95">
        <v>0</v>
      </c>
      <c r="R172" s="96">
        <f t="shared" si="46"/>
        <v>80</v>
      </c>
      <c r="S172" s="97">
        <v>210</v>
      </c>
      <c r="T172" s="98">
        <f t="shared" si="37"/>
        <v>16800</v>
      </c>
      <c r="U172" s="99">
        <v>20</v>
      </c>
      <c r="V172" s="100">
        <f t="shared" si="38"/>
        <v>4200</v>
      </c>
      <c r="W172" s="101">
        <v>20</v>
      </c>
      <c r="X172" s="102" t="s">
        <v>249</v>
      </c>
      <c r="Y172" s="103">
        <v>170</v>
      </c>
      <c r="Z172" s="103">
        <f t="shared" si="47"/>
        <v>3400</v>
      </c>
      <c r="AA172" s="99">
        <v>20</v>
      </c>
      <c r="AB172" s="100">
        <f t="shared" si="39"/>
        <v>4200</v>
      </c>
      <c r="AC172" s="104">
        <v>20</v>
      </c>
      <c r="AD172" s="105" t="s">
        <v>249</v>
      </c>
      <c r="AE172" s="105">
        <v>170</v>
      </c>
      <c r="AF172" s="105">
        <f t="shared" ref="AF172:AF177" si="48">AE172*AC172</f>
        <v>3400</v>
      </c>
      <c r="AG172" s="99">
        <v>20</v>
      </c>
      <c r="AH172" s="100">
        <f t="shared" si="40"/>
        <v>4200</v>
      </c>
      <c r="AI172" s="106"/>
      <c r="AJ172" s="107"/>
      <c r="AK172" s="107"/>
      <c r="AL172" s="107"/>
      <c r="AM172" s="99">
        <v>20</v>
      </c>
      <c r="AN172" s="100">
        <f t="shared" si="41"/>
        <v>4200</v>
      </c>
      <c r="AO172" s="108">
        <f t="shared" si="42"/>
        <v>80</v>
      </c>
      <c r="AP172" s="308">
        <f t="shared" si="43"/>
        <v>6800</v>
      </c>
    </row>
    <row r="173" spans="1:50" ht="20.45" customHeight="1">
      <c r="A173" s="85" t="s">
        <v>531</v>
      </c>
      <c r="B173" s="86">
        <v>112</v>
      </c>
      <c r="C173" s="87" t="s">
        <v>532</v>
      </c>
      <c r="D173" s="88">
        <v>672868</v>
      </c>
      <c r="E173" s="88"/>
      <c r="F173" s="89" t="s">
        <v>533</v>
      </c>
      <c r="G173" s="109" t="s">
        <v>534</v>
      </c>
      <c r="H173" s="109"/>
      <c r="I173" s="91">
        <v>1</v>
      </c>
      <c r="J173" s="92" t="s">
        <v>88</v>
      </c>
      <c r="K173" s="93">
        <v>1</v>
      </c>
      <c r="L173" s="93" t="s">
        <v>73</v>
      </c>
      <c r="M173" s="116">
        <f>512/10*12</f>
        <v>614.40000000000009</v>
      </c>
      <c r="N173" s="116">
        <v>488</v>
      </c>
      <c r="O173" s="116">
        <v>133.33333333333334</v>
      </c>
      <c r="P173" s="94">
        <v>160</v>
      </c>
      <c r="Q173" s="95">
        <v>60</v>
      </c>
      <c r="R173" s="96">
        <f t="shared" si="46"/>
        <v>100</v>
      </c>
      <c r="S173" s="97">
        <v>130</v>
      </c>
      <c r="T173" s="98">
        <f t="shared" si="37"/>
        <v>13000</v>
      </c>
      <c r="U173" s="99">
        <v>100</v>
      </c>
      <c r="V173" s="100">
        <f t="shared" si="38"/>
        <v>13000</v>
      </c>
      <c r="W173" s="101">
        <v>100</v>
      </c>
      <c r="X173" s="102" t="s">
        <v>535</v>
      </c>
      <c r="Y173" s="103">
        <v>125</v>
      </c>
      <c r="Z173" s="103">
        <f t="shared" si="47"/>
        <v>12500</v>
      </c>
      <c r="AA173" s="99">
        <v>0</v>
      </c>
      <c r="AB173" s="100">
        <f t="shared" si="39"/>
        <v>0</v>
      </c>
      <c r="AC173" s="104"/>
      <c r="AD173" s="105"/>
      <c r="AE173" s="105"/>
      <c r="AF173" s="105">
        <f t="shared" si="48"/>
        <v>0</v>
      </c>
      <c r="AG173" s="99">
        <v>0</v>
      </c>
      <c r="AH173" s="100">
        <f t="shared" si="40"/>
        <v>0</v>
      </c>
      <c r="AI173" s="106"/>
      <c r="AJ173" s="107"/>
      <c r="AK173" s="107"/>
      <c r="AL173" s="107"/>
      <c r="AM173" s="99">
        <v>0</v>
      </c>
      <c r="AN173" s="100">
        <f t="shared" si="41"/>
        <v>0</v>
      </c>
      <c r="AO173" s="108">
        <f t="shared" si="42"/>
        <v>100</v>
      </c>
      <c r="AP173" s="308">
        <f t="shared" si="43"/>
        <v>12500</v>
      </c>
    </row>
    <row r="174" spans="1:50" ht="20.45" customHeight="1">
      <c r="A174" s="85" t="s">
        <v>536</v>
      </c>
      <c r="B174" s="86">
        <v>113</v>
      </c>
      <c r="C174" s="87" t="s">
        <v>537</v>
      </c>
      <c r="D174" s="88">
        <v>614680</v>
      </c>
      <c r="E174" s="88"/>
      <c r="F174" s="89" t="s">
        <v>538</v>
      </c>
      <c r="G174" s="109" t="s">
        <v>539</v>
      </c>
      <c r="H174" s="109"/>
      <c r="I174" s="91">
        <v>1</v>
      </c>
      <c r="J174" s="92" t="s">
        <v>115</v>
      </c>
      <c r="K174" s="93">
        <v>1</v>
      </c>
      <c r="L174" s="93" t="s">
        <v>540</v>
      </c>
      <c r="M174" s="116">
        <f>1783/10*12</f>
        <v>2139.6000000000004</v>
      </c>
      <c r="N174" s="116">
        <f>1386/9*12</f>
        <v>1848</v>
      </c>
      <c r="O174" s="116">
        <v>2138.6666666666665</v>
      </c>
      <c r="P174" s="94">
        <v>2200</v>
      </c>
      <c r="Q174" s="95">
        <v>200</v>
      </c>
      <c r="R174" s="96">
        <f t="shared" si="46"/>
        <v>2000</v>
      </c>
      <c r="S174" s="152">
        <v>7</v>
      </c>
      <c r="T174" s="98">
        <f t="shared" si="37"/>
        <v>14000</v>
      </c>
      <c r="U174" s="99">
        <v>500</v>
      </c>
      <c r="V174" s="100">
        <f t="shared" si="38"/>
        <v>3500</v>
      </c>
      <c r="W174" s="101">
        <v>500</v>
      </c>
      <c r="X174" s="102" t="s">
        <v>541</v>
      </c>
      <c r="Y174" s="103">
        <v>6.42</v>
      </c>
      <c r="Z174" s="103">
        <f t="shared" si="47"/>
        <v>3210</v>
      </c>
      <c r="AA174" s="99">
        <v>500</v>
      </c>
      <c r="AB174" s="100">
        <f t="shared" si="39"/>
        <v>3500</v>
      </c>
      <c r="AC174" s="104">
        <v>500</v>
      </c>
      <c r="AD174" s="105" t="s">
        <v>541</v>
      </c>
      <c r="AE174" s="105">
        <v>6.42</v>
      </c>
      <c r="AF174" s="105">
        <f t="shared" si="48"/>
        <v>3210</v>
      </c>
      <c r="AG174" s="99">
        <v>500</v>
      </c>
      <c r="AH174" s="100">
        <f t="shared" si="40"/>
        <v>3500</v>
      </c>
      <c r="AI174" s="106">
        <v>500</v>
      </c>
      <c r="AJ174" s="107" t="s">
        <v>541</v>
      </c>
      <c r="AK174" s="107">
        <v>6.42</v>
      </c>
      <c r="AL174" s="107">
        <f>AK174*AI174</f>
        <v>3210</v>
      </c>
      <c r="AM174" s="99">
        <v>500</v>
      </c>
      <c r="AN174" s="100">
        <f t="shared" si="41"/>
        <v>3500</v>
      </c>
      <c r="AO174" s="108">
        <f t="shared" si="42"/>
        <v>2000</v>
      </c>
      <c r="AP174" s="308">
        <f t="shared" si="43"/>
        <v>9630</v>
      </c>
    </row>
    <row r="175" spans="1:50" ht="20.45" customHeight="1">
      <c r="A175" s="85" t="s">
        <v>542</v>
      </c>
      <c r="B175" s="86">
        <v>114</v>
      </c>
      <c r="C175" s="87" t="s">
        <v>543</v>
      </c>
      <c r="D175" s="88">
        <v>255171</v>
      </c>
      <c r="E175" s="88"/>
      <c r="F175" s="89" t="s">
        <v>544</v>
      </c>
      <c r="G175" s="109" t="s">
        <v>545</v>
      </c>
      <c r="H175" s="109"/>
      <c r="I175" s="91">
        <v>1</v>
      </c>
      <c r="J175" s="92" t="s">
        <v>83</v>
      </c>
      <c r="K175" s="93">
        <v>1000</v>
      </c>
      <c r="L175" s="93" t="s">
        <v>84</v>
      </c>
      <c r="M175" s="116">
        <f>82.5/10*12</f>
        <v>99</v>
      </c>
      <c r="N175" s="116">
        <f>64/9*12</f>
        <v>85.333333333333329</v>
      </c>
      <c r="O175" s="116">
        <v>78.666666666666671</v>
      </c>
      <c r="P175" s="94">
        <v>80</v>
      </c>
      <c r="Q175" s="95">
        <v>10</v>
      </c>
      <c r="R175" s="96">
        <f t="shared" si="46"/>
        <v>70</v>
      </c>
      <c r="S175" s="152">
        <v>200</v>
      </c>
      <c r="T175" s="98">
        <f t="shared" si="37"/>
        <v>14000</v>
      </c>
      <c r="U175" s="99">
        <v>20</v>
      </c>
      <c r="V175" s="100">
        <f t="shared" si="38"/>
        <v>4000</v>
      </c>
      <c r="W175" s="101">
        <v>20</v>
      </c>
      <c r="X175" s="102" t="s">
        <v>249</v>
      </c>
      <c r="Y175" s="103">
        <v>140</v>
      </c>
      <c r="Z175" s="103">
        <f t="shared" si="47"/>
        <v>2800</v>
      </c>
      <c r="AA175" s="99">
        <v>15</v>
      </c>
      <c r="AB175" s="100">
        <f t="shared" si="39"/>
        <v>3000</v>
      </c>
      <c r="AC175" s="104">
        <v>15</v>
      </c>
      <c r="AD175" s="105" t="s">
        <v>249</v>
      </c>
      <c r="AE175" s="105">
        <v>140</v>
      </c>
      <c r="AF175" s="105">
        <f t="shared" si="48"/>
        <v>2100</v>
      </c>
      <c r="AG175" s="99">
        <v>20</v>
      </c>
      <c r="AH175" s="100">
        <f t="shared" si="40"/>
        <v>4000</v>
      </c>
      <c r="AI175" s="106">
        <v>25</v>
      </c>
      <c r="AJ175" s="107" t="s">
        <v>249</v>
      </c>
      <c r="AK175" s="107">
        <v>140</v>
      </c>
      <c r="AL175" s="107">
        <f>AK175*AI175</f>
        <v>3500</v>
      </c>
      <c r="AM175" s="99">
        <v>15</v>
      </c>
      <c r="AN175" s="100">
        <f t="shared" si="41"/>
        <v>3000</v>
      </c>
      <c r="AO175" s="108">
        <f t="shared" si="42"/>
        <v>70</v>
      </c>
      <c r="AP175" s="308">
        <f t="shared" si="43"/>
        <v>8400</v>
      </c>
    </row>
    <row r="176" spans="1:50" ht="20.45" customHeight="1">
      <c r="A176" s="85" t="s">
        <v>546</v>
      </c>
      <c r="B176" s="86">
        <v>115</v>
      </c>
      <c r="C176" s="87" t="s">
        <v>547</v>
      </c>
      <c r="D176" s="88">
        <v>735834</v>
      </c>
      <c r="E176" s="88"/>
      <c r="F176" s="89" t="s">
        <v>548</v>
      </c>
      <c r="G176" s="109" t="s">
        <v>549</v>
      </c>
      <c r="H176" s="109"/>
      <c r="I176" s="91">
        <v>1</v>
      </c>
      <c r="J176" s="92" t="s">
        <v>88</v>
      </c>
      <c r="K176" s="93">
        <v>1</v>
      </c>
      <c r="L176" s="93" t="s">
        <v>202</v>
      </c>
      <c r="M176" s="116">
        <v>0</v>
      </c>
      <c r="N176" s="116">
        <v>150</v>
      </c>
      <c r="O176" s="116">
        <v>0</v>
      </c>
      <c r="P176" s="94">
        <v>30</v>
      </c>
      <c r="Q176" s="95">
        <v>30</v>
      </c>
      <c r="R176" s="96">
        <f t="shared" si="46"/>
        <v>0</v>
      </c>
      <c r="S176" s="97">
        <v>35.479999999999997</v>
      </c>
      <c r="T176" s="98">
        <f t="shared" si="37"/>
        <v>0</v>
      </c>
      <c r="U176" s="99">
        <v>0</v>
      </c>
      <c r="V176" s="100">
        <f t="shared" si="38"/>
        <v>0</v>
      </c>
      <c r="W176" s="101"/>
      <c r="X176" s="102"/>
      <c r="Y176" s="103"/>
      <c r="Z176" s="103"/>
      <c r="AA176" s="99">
        <v>0</v>
      </c>
      <c r="AB176" s="100">
        <f t="shared" si="39"/>
        <v>0</v>
      </c>
      <c r="AC176" s="104"/>
      <c r="AD176" s="105"/>
      <c r="AE176" s="105"/>
      <c r="AF176" s="105">
        <f t="shared" si="48"/>
        <v>0</v>
      </c>
      <c r="AG176" s="99">
        <v>0</v>
      </c>
      <c r="AH176" s="100">
        <f t="shared" si="40"/>
        <v>0</v>
      </c>
      <c r="AI176" s="106"/>
      <c r="AJ176" s="107"/>
      <c r="AK176" s="107"/>
      <c r="AL176" s="107"/>
      <c r="AM176" s="99">
        <v>0</v>
      </c>
      <c r="AN176" s="100">
        <f t="shared" si="41"/>
        <v>0</v>
      </c>
      <c r="AO176" s="108">
        <f t="shared" si="42"/>
        <v>0</v>
      </c>
      <c r="AP176" s="308">
        <f t="shared" si="43"/>
        <v>0</v>
      </c>
    </row>
    <row r="177" spans="1:42" ht="20.45" customHeight="1">
      <c r="A177" s="85" t="s">
        <v>550</v>
      </c>
      <c r="B177" s="86">
        <v>116</v>
      </c>
      <c r="C177" s="87" t="s">
        <v>551</v>
      </c>
      <c r="D177" s="88">
        <v>226412</v>
      </c>
      <c r="E177" s="88"/>
      <c r="F177" s="89" t="s">
        <v>552</v>
      </c>
      <c r="G177" s="109" t="s">
        <v>553</v>
      </c>
      <c r="H177" s="109"/>
      <c r="I177" s="91">
        <v>1</v>
      </c>
      <c r="J177" s="92" t="s">
        <v>184</v>
      </c>
      <c r="K177" s="93">
        <v>1000</v>
      </c>
      <c r="L177" s="93" t="s">
        <v>185</v>
      </c>
      <c r="M177" s="116">
        <f>7.5/10*12</f>
        <v>9</v>
      </c>
      <c r="N177" s="116">
        <f>7.5/9*12</f>
        <v>10</v>
      </c>
      <c r="O177" s="116">
        <v>14.666666666666666</v>
      </c>
      <c r="P177" s="94">
        <v>15</v>
      </c>
      <c r="Q177" s="95">
        <v>0</v>
      </c>
      <c r="R177" s="96">
        <f t="shared" si="46"/>
        <v>15</v>
      </c>
      <c r="S177" s="97">
        <v>900</v>
      </c>
      <c r="T177" s="98">
        <f t="shared" si="37"/>
        <v>13500</v>
      </c>
      <c r="U177" s="99">
        <v>0</v>
      </c>
      <c r="V177" s="100">
        <f t="shared" si="38"/>
        <v>0</v>
      </c>
      <c r="W177" s="101"/>
      <c r="X177" s="102"/>
      <c r="Y177" s="103"/>
      <c r="Z177" s="103"/>
      <c r="AA177" s="99">
        <v>5</v>
      </c>
      <c r="AB177" s="100">
        <f t="shared" si="39"/>
        <v>4500</v>
      </c>
      <c r="AC177" s="104">
        <v>5</v>
      </c>
      <c r="AD177" s="105" t="s">
        <v>554</v>
      </c>
      <c r="AE177" s="105">
        <v>840</v>
      </c>
      <c r="AF177" s="105">
        <f t="shared" si="48"/>
        <v>4200</v>
      </c>
      <c r="AG177" s="99">
        <v>5</v>
      </c>
      <c r="AH177" s="100">
        <f t="shared" si="40"/>
        <v>4500</v>
      </c>
      <c r="AI177" s="106"/>
      <c r="AJ177" s="107"/>
      <c r="AK177" s="107"/>
      <c r="AL177" s="107"/>
      <c r="AM177" s="99">
        <v>5</v>
      </c>
      <c r="AN177" s="100">
        <f t="shared" si="41"/>
        <v>4500</v>
      </c>
      <c r="AO177" s="108">
        <f t="shared" si="42"/>
        <v>15</v>
      </c>
      <c r="AP177" s="308">
        <f t="shared" si="43"/>
        <v>4200</v>
      </c>
    </row>
    <row r="178" spans="1:42" ht="20.45" customHeight="1">
      <c r="A178" s="85" t="s">
        <v>563</v>
      </c>
      <c r="B178" s="86">
        <v>119</v>
      </c>
      <c r="C178" s="87" t="s">
        <v>564</v>
      </c>
      <c r="D178" s="88">
        <v>761784</v>
      </c>
      <c r="E178" s="88"/>
      <c r="F178" s="89" t="s">
        <v>565</v>
      </c>
      <c r="G178" s="109" t="s">
        <v>566</v>
      </c>
      <c r="H178" s="109"/>
      <c r="I178" s="154">
        <v>1</v>
      </c>
      <c r="J178" s="92" t="s">
        <v>51</v>
      </c>
      <c r="K178" s="93">
        <v>1</v>
      </c>
      <c r="L178" s="93" t="s">
        <v>52</v>
      </c>
      <c r="M178" s="116">
        <f>581/10*12</f>
        <v>697.2</v>
      </c>
      <c r="N178" s="116">
        <f>517/9*12</f>
        <v>689.33333333333326</v>
      </c>
      <c r="O178" s="116">
        <v>733.33333333333337</v>
      </c>
      <c r="P178" s="94">
        <v>800</v>
      </c>
      <c r="Q178" s="95">
        <v>100</v>
      </c>
      <c r="R178" s="96">
        <f t="shared" si="46"/>
        <v>700</v>
      </c>
      <c r="S178" s="97">
        <v>22</v>
      </c>
      <c r="T178" s="98">
        <f t="shared" si="37"/>
        <v>15400</v>
      </c>
      <c r="U178" s="99">
        <v>400</v>
      </c>
      <c r="V178" s="100">
        <f t="shared" si="38"/>
        <v>8800</v>
      </c>
      <c r="W178" s="101">
        <f>2*200</f>
        <v>400</v>
      </c>
      <c r="X178" s="102" t="s">
        <v>567</v>
      </c>
      <c r="Y178" s="103">
        <v>21.4</v>
      </c>
      <c r="Z178" s="103">
        <f>Y178*W178</f>
        <v>8560</v>
      </c>
      <c r="AA178" s="99">
        <v>0</v>
      </c>
      <c r="AB178" s="100">
        <f t="shared" si="39"/>
        <v>0</v>
      </c>
      <c r="AC178" s="104"/>
      <c r="AD178" s="105"/>
      <c r="AE178" s="105"/>
      <c r="AF178" s="105"/>
      <c r="AG178" s="99">
        <v>200</v>
      </c>
      <c r="AH178" s="100">
        <f t="shared" si="40"/>
        <v>4400</v>
      </c>
      <c r="AI178" s="106">
        <v>200</v>
      </c>
      <c r="AJ178" s="107" t="s">
        <v>567</v>
      </c>
      <c r="AK178" s="107">
        <v>21.4</v>
      </c>
      <c r="AL178" s="107">
        <f>AK178*AI178</f>
        <v>4280</v>
      </c>
      <c r="AM178" s="99">
        <v>100</v>
      </c>
      <c r="AN178" s="100">
        <f t="shared" si="41"/>
        <v>2200</v>
      </c>
      <c r="AO178" s="108">
        <f t="shared" si="42"/>
        <v>700</v>
      </c>
      <c r="AP178" s="308">
        <f t="shared" si="43"/>
        <v>12840</v>
      </c>
    </row>
    <row r="179" spans="1:42" ht="20.45" customHeight="1">
      <c r="A179" s="85" t="s">
        <v>568</v>
      </c>
      <c r="B179" s="86">
        <v>120</v>
      </c>
      <c r="C179" s="87" t="s">
        <v>569</v>
      </c>
      <c r="D179" s="88">
        <v>770639</v>
      </c>
      <c r="E179" s="88"/>
      <c r="F179" s="89" t="s">
        <v>565</v>
      </c>
      <c r="G179" s="109" t="s">
        <v>570</v>
      </c>
      <c r="H179" s="109"/>
      <c r="I179" s="91">
        <v>1</v>
      </c>
      <c r="J179" s="92" t="s">
        <v>51</v>
      </c>
      <c r="K179" s="93">
        <v>1</v>
      </c>
      <c r="L179" s="93" t="s">
        <v>52</v>
      </c>
      <c r="M179" s="116">
        <f>60/10*12</f>
        <v>72</v>
      </c>
      <c r="N179" s="116">
        <f>52/9*12</f>
        <v>69.333333333333329</v>
      </c>
      <c r="O179" s="116">
        <v>13.333333333333334</v>
      </c>
      <c r="P179" s="94">
        <v>100</v>
      </c>
      <c r="Q179" s="95">
        <v>100</v>
      </c>
      <c r="R179" s="96">
        <f t="shared" si="46"/>
        <v>0</v>
      </c>
      <c r="S179" s="97">
        <v>7</v>
      </c>
      <c r="T179" s="98">
        <f t="shared" si="37"/>
        <v>0</v>
      </c>
      <c r="U179" s="99">
        <v>0</v>
      </c>
      <c r="V179" s="100">
        <f t="shared" si="38"/>
        <v>0</v>
      </c>
      <c r="W179" s="101"/>
      <c r="X179" s="102"/>
      <c r="Y179" s="103"/>
      <c r="Z179" s="103">
        <f>Y179*W179</f>
        <v>0</v>
      </c>
      <c r="AA179" s="99">
        <v>0</v>
      </c>
      <c r="AB179" s="100">
        <f t="shared" si="39"/>
        <v>0</v>
      </c>
      <c r="AC179" s="104"/>
      <c r="AD179" s="105"/>
      <c r="AE179" s="105"/>
      <c r="AF179" s="105"/>
      <c r="AG179" s="99">
        <v>0</v>
      </c>
      <c r="AH179" s="100">
        <f t="shared" si="40"/>
        <v>0</v>
      </c>
      <c r="AI179" s="106"/>
      <c r="AJ179" s="107"/>
      <c r="AK179" s="107"/>
      <c r="AL179" s="107"/>
      <c r="AM179" s="99">
        <v>0</v>
      </c>
      <c r="AN179" s="100">
        <f t="shared" si="41"/>
        <v>0</v>
      </c>
      <c r="AO179" s="108">
        <f t="shared" si="42"/>
        <v>0</v>
      </c>
      <c r="AP179" s="308">
        <f t="shared" si="43"/>
        <v>0</v>
      </c>
    </row>
    <row r="180" spans="1:42" ht="20.45" customHeight="1">
      <c r="A180" s="85" t="s">
        <v>575</v>
      </c>
      <c r="B180" s="86">
        <v>122</v>
      </c>
      <c r="C180" s="87" t="s">
        <v>576</v>
      </c>
      <c r="D180" s="88">
        <v>270588</v>
      </c>
      <c r="E180" s="88"/>
      <c r="F180" s="89" t="s">
        <v>577</v>
      </c>
      <c r="G180" s="113" t="s">
        <v>578</v>
      </c>
      <c r="H180" s="113"/>
      <c r="I180" s="114">
        <v>1</v>
      </c>
      <c r="J180" s="92" t="s">
        <v>83</v>
      </c>
      <c r="K180" s="93">
        <v>100</v>
      </c>
      <c r="L180" s="93" t="s">
        <v>84</v>
      </c>
      <c r="M180" s="116">
        <f>4.5/10*12</f>
        <v>5.4</v>
      </c>
      <c r="N180" s="116">
        <v>9</v>
      </c>
      <c r="O180" s="116">
        <v>12.533333333333335</v>
      </c>
      <c r="P180" s="94">
        <v>12</v>
      </c>
      <c r="Q180" s="95">
        <v>2</v>
      </c>
      <c r="R180" s="96">
        <f t="shared" si="46"/>
        <v>10</v>
      </c>
      <c r="S180" s="97">
        <v>193</v>
      </c>
      <c r="T180" s="98">
        <f t="shared" si="37"/>
        <v>1930</v>
      </c>
      <c r="U180" s="99">
        <v>10</v>
      </c>
      <c r="V180" s="100">
        <f t="shared" si="38"/>
        <v>1930</v>
      </c>
      <c r="W180" s="101">
        <v>10</v>
      </c>
      <c r="X180" s="102" t="s">
        <v>122</v>
      </c>
      <c r="Y180" s="103">
        <v>150</v>
      </c>
      <c r="Z180" s="103">
        <f>Y180*W180</f>
        <v>1500</v>
      </c>
      <c r="AA180" s="99">
        <v>0</v>
      </c>
      <c r="AB180" s="100">
        <f t="shared" si="39"/>
        <v>0</v>
      </c>
      <c r="AC180" s="104"/>
      <c r="AD180" s="105"/>
      <c r="AE180" s="105"/>
      <c r="AF180" s="105">
        <f t="shared" ref="AF180:AF185" si="49">AE180*AC180</f>
        <v>0</v>
      </c>
      <c r="AG180" s="99">
        <v>0</v>
      </c>
      <c r="AH180" s="100">
        <f t="shared" si="40"/>
        <v>0</v>
      </c>
      <c r="AI180" s="106"/>
      <c r="AJ180" s="107"/>
      <c r="AK180" s="107"/>
      <c r="AL180" s="107"/>
      <c r="AM180" s="99">
        <v>0</v>
      </c>
      <c r="AN180" s="100">
        <f t="shared" si="41"/>
        <v>0</v>
      </c>
      <c r="AO180" s="108">
        <f t="shared" si="42"/>
        <v>10</v>
      </c>
      <c r="AP180" s="308">
        <f t="shared" si="43"/>
        <v>1500</v>
      </c>
    </row>
    <row r="181" spans="1:42" ht="20.45" customHeight="1">
      <c r="A181" s="85" t="s">
        <v>579</v>
      </c>
      <c r="B181" s="86">
        <v>123</v>
      </c>
      <c r="C181" s="87" t="s">
        <v>580</v>
      </c>
      <c r="D181" s="88">
        <v>762666</v>
      </c>
      <c r="E181" s="88"/>
      <c r="F181" s="89" t="s">
        <v>581</v>
      </c>
      <c r="G181" s="113" t="s">
        <v>582</v>
      </c>
      <c r="H181" s="113"/>
      <c r="I181" s="154">
        <v>1</v>
      </c>
      <c r="J181" s="92" t="s">
        <v>88</v>
      </c>
      <c r="K181" s="93">
        <v>1</v>
      </c>
      <c r="L181" s="93" t="s">
        <v>202</v>
      </c>
      <c r="M181" s="116">
        <f>120/10*12</f>
        <v>144</v>
      </c>
      <c r="N181" s="116">
        <f>80*12/9</f>
        <v>106.66666666666667</v>
      </c>
      <c r="O181" s="116">
        <v>66.666666666666671</v>
      </c>
      <c r="P181" s="94">
        <v>100</v>
      </c>
      <c r="Q181" s="95">
        <v>0</v>
      </c>
      <c r="R181" s="112">
        <v>50</v>
      </c>
      <c r="S181" s="97">
        <v>620</v>
      </c>
      <c r="T181" s="98">
        <f t="shared" si="37"/>
        <v>31000</v>
      </c>
      <c r="U181" s="99">
        <v>0</v>
      </c>
      <c r="V181" s="100">
        <f t="shared" si="38"/>
        <v>0</v>
      </c>
      <c r="W181" s="101"/>
      <c r="X181" s="102"/>
      <c r="Y181" s="103"/>
      <c r="Z181" s="103"/>
      <c r="AA181" s="99">
        <v>0</v>
      </c>
      <c r="AB181" s="100">
        <f t="shared" si="39"/>
        <v>0</v>
      </c>
      <c r="AC181" s="104"/>
      <c r="AD181" s="105"/>
      <c r="AE181" s="105"/>
      <c r="AF181" s="105">
        <f t="shared" si="49"/>
        <v>0</v>
      </c>
      <c r="AG181" s="99">
        <v>50</v>
      </c>
      <c r="AH181" s="100">
        <f t="shared" si="40"/>
        <v>31000</v>
      </c>
      <c r="AI181" s="106"/>
      <c r="AJ181" s="107"/>
      <c r="AK181" s="107"/>
      <c r="AL181" s="107"/>
      <c r="AM181" s="99">
        <v>0</v>
      </c>
      <c r="AN181" s="100">
        <f t="shared" si="41"/>
        <v>0</v>
      </c>
      <c r="AO181" s="108">
        <f t="shared" si="42"/>
        <v>50</v>
      </c>
      <c r="AP181" s="308">
        <f t="shared" si="43"/>
        <v>0</v>
      </c>
    </row>
    <row r="182" spans="1:42" ht="20.45" customHeight="1">
      <c r="A182" s="85" t="s">
        <v>583</v>
      </c>
      <c r="B182" s="86">
        <v>124</v>
      </c>
      <c r="C182" s="87" t="s">
        <v>584</v>
      </c>
      <c r="D182" s="88">
        <v>786964</v>
      </c>
      <c r="E182" s="88"/>
      <c r="F182" s="89" t="s">
        <v>585</v>
      </c>
      <c r="G182" s="109" t="s">
        <v>586</v>
      </c>
      <c r="H182" s="109"/>
      <c r="I182" s="91">
        <v>1</v>
      </c>
      <c r="J182" s="92" t="s">
        <v>195</v>
      </c>
      <c r="K182" s="93">
        <v>1</v>
      </c>
      <c r="L182" s="93" t="s">
        <v>196</v>
      </c>
      <c r="M182" s="116">
        <f>263*12/10</f>
        <v>315.60000000000002</v>
      </c>
      <c r="N182" s="116">
        <f>265/9*12</f>
        <v>353.33333333333331</v>
      </c>
      <c r="O182" s="116">
        <v>122.66666666666667</v>
      </c>
      <c r="P182" s="94">
        <v>140</v>
      </c>
      <c r="Q182" s="95">
        <v>40</v>
      </c>
      <c r="R182" s="96">
        <f>P182-Q182</f>
        <v>100</v>
      </c>
      <c r="S182" s="97">
        <v>16.98</v>
      </c>
      <c r="T182" s="98">
        <f t="shared" si="37"/>
        <v>1698</v>
      </c>
      <c r="U182" s="99">
        <v>0</v>
      </c>
      <c r="V182" s="100">
        <f t="shared" si="38"/>
        <v>0</v>
      </c>
      <c r="W182" s="101"/>
      <c r="X182" s="102"/>
      <c r="Y182" s="103"/>
      <c r="Z182" s="103"/>
      <c r="AA182" s="99">
        <v>100</v>
      </c>
      <c r="AB182" s="100">
        <f t="shared" si="39"/>
        <v>1698</v>
      </c>
      <c r="AC182" s="104">
        <v>100</v>
      </c>
      <c r="AD182" s="105" t="s">
        <v>554</v>
      </c>
      <c r="AE182" s="105">
        <f>849/50</f>
        <v>16.98</v>
      </c>
      <c r="AF182" s="105">
        <f t="shared" si="49"/>
        <v>1698</v>
      </c>
      <c r="AG182" s="99">
        <v>0</v>
      </c>
      <c r="AH182" s="100">
        <f t="shared" si="40"/>
        <v>0</v>
      </c>
      <c r="AI182" s="106"/>
      <c r="AJ182" s="107"/>
      <c r="AK182" s="107"/>
      <c r="AL182" s="107"/>
      <c r="AM182" s="99">
        <v>0</v>
      </c>
      <c r="AN182" s="100">
        <f t="shared" si="41"/>
        <v>0</v>
      </c>
      <c r="AO182" s="108">
        <f t="shared" si="42"/>
        <v>100</v>
      </c>
      <c r="AP182" s="308">
        <f t="shared" si="43"/>
        <v>1698</v>
      </c>
    </row>
    <row r="183" spans="1:42" ht="20.45" customHeight="1">
      <c r="A183" s="85" t="s">
        <v>587</v>
      </c>
      <c r="B183" s="86">
        <v>125</v>
      </c>
      <c r="C183" s="87" t="s">
        <v>588</v>
      </c>
      <c r="D183" s="146">
        <v>227018</v>
      </c>
      <c r="E183" s="146"/>
      <c r="F183" s="89" t="s">
        <v>589</v>
      </c>
      <c r="G183" s="109" t="s">
        <v>590</v>
      </c>
      <c r="H183" s="109"/>
      <c r="I183" s="91">
        <v>1</v>
      </c>
      <c r="J183" s="93" t="s">
        <v>476</v>
      </c>
      <c r="K183" s="93">
        <v>500</v>
      </c>
      <c r="L183" s="93" t="s">
        <v>477</v>
      </c>
      <c r="M183" s="116">
        <f>3*12/10</f>
        <v>3.6</v>
      </c>
      <c r="N183" s="116">
        <f>6/9*12</f>
        <v>8</v>
      </c>
      <c r="O183" s="116">
        <v>9.3333333333333339</v>
      </c>
      <c r="P183" s="94">
        <v>3</v>
      </c>
      <c r="Q183" s="95">
        <v>3</v>
      </c>
      <c r="R183" s="96">
        <f>P183-Q183</f>
        <v>0</v>
      </c>
      <c r="S183" s="147">
        <f>1.8*500</f>
        <v>900</v>
      </c>
      <c r="T183" s="98">
        <f t="shared" si="37"/>
        <v>0</v>
      </c>
      <c r="U183" s="148">
        <v>0</v>
      </c>
      <c r="V183" s="100">
        <f t="shared" si="38"/>
        <v>0</v>
      </c>
      <c r="W183" s="101"/>
      <c r="X183" s="102"/>
      <c r="Y183" s="103"/>
      <c r="Z183" s="103"/>
      <c r="AA183" s="148">
        <v>0</v>
      </c>
      <c r="AB183" s="100">
        <f t="shared" si="39"/>
        <v>0</v>
      </c>
      <c r="AC183" s="104"/>
      <c r="AD183" s="105"/>
      <c r="AE183" s="105"/>
      <c r="AF183" s="105">
        <f t="shared" si="49"/>
        <v>0</v>
      </c>
      <c r="AG183" s="99">
        <v>0</v>
      </c>
      <c r="AH183" s="100">
        <f t="shared" si="40"/>
        <v>0</v>
      </c>
      <c r="AI183" s="106"/>
      <c r="AJ183" s="107"/>
      <c r="AK183" s="107"/>
      <c r="AL183" s="107"/>
      <c r="AM183" s="99">
        <v>0</v>
      </c>
      <c r="AN183" s="100">
        <f t="shared" si="41"/>
        <v>0</v>
      </c>
      <c r="AO183" s="108">
        <f t="shared" si="42"/>
        <v>0</v>
      </c>
      <c r="AP183" s="308">
        <f t="shared" si="43"/>
        <v>0</v>
      </c>
    </row>
    <row r="184" spans="1:42" ht="20.45" customHeight="1">
      <c r="A184" s="85" t="s">
        <v>591</v>
      </c>
      <c r="B184" s="86">
        <v>126</v>
      </c>
      <c r="C184" s="87">
        <v>322918</v>
      </c>
      <c r="D184" s="88">
        <v>227060</v>
      </c>
      <c r="E184" s="88"/>
      <c r="F184" s="117" t="s">
        <v>592</v>
      </c>
      <c r="G184" s="109" t="s">
        <v>593</v>
      </c>
      <c r="H184" s="109"/>
      <c r="I184" s="91">
        <v>1</v>
      </c>
      <c r="J184" s="93" t="s">
        <v>476</v>
      </c>
      <c r="K184" s="93">
        <v>500</v>
      </c>
      <c r="L184" s="93" t="s">
        <v>477</v>
      </c>
      <c r="M184" s="116">
        <v>3</v>
      </c>
      <c r="N184" s="116">
        <f>3.5/9*12</f>
        <v>4.666666666666667</v>
      </c>
      <c r="O184" s="116">
        <v>10.666666666666666</v>
      </c>
      <c r="P184" s="94">
        <v>2</v>
      </c>
      <c r="Q184" s="95">
        <v>0</v>
      </c>
      <c r="R184" s="96">
        <f>P184-Q184</f>
        <v>2</v>
      </c>
      <c r="S184" s="147">
        <f>2.61*500</f>
        <v>1305</v>
      </c>
      <c r="T184" s="98">
        <f t="shared" si="37"/>
        <v>2610</v>
      </c>
      <c r="U184" s="148">
        <v>0</v>
      </c>
      <c r="V184" s="100">
        <f t="shared" si="38"/>
        <v>0</v>
      </c>
      <c r="W184" s="101"/>
      <c r="X184" s="102"/>
      <c r="Y184" s="103"/>
      <c r="Z184" s="103"/>
      <c r="AA184" s="148">
        <v>0</v>
      </c>
      <c r="AB184" s="100">
        <f t="shared" si="39"/>
        <v>0</v>
      </c>
      <c r="AC184" s="104"/>
      <c r="AD184" s="105"/>
      <c r="AE184" s="105"/>
      <c r="AF184" s="105">
        <f t="shared" si="49"/>
        <v>0</v>
      </c>
      <c r="AG184" s="99">
        <v>2</v>
      </c>
      <c r="AH184" s="100">
        <f t="shared" si="40"/>
        <v>2610</v>
      </c>
      <c r="AI184" s="106"/>
      <c r="AJ184" s="107"/>
      <c r="AK184" s="107"/>
      <c r="AL184" s="107"/>
      <c r="AM184" s="99">
        <v>0</v>
      </c>
      <c r="AN184" s="100">
        <f t="shared" si="41"/>
        <v>0</v>
      </c>
      <c r="AO184" s="108">
        <f t="shared" si="42"/>
        <v>2</v>
      </c>
      <c r="AP184" s="308">
        <f t="shared" si="43"/>
        <v>0</v>
      </c>
    </row>
    <row r="185" spans="1:42" ht="20.45" customHeight="1">
      <c r="A185" s="85" t="s">
        <v>594</v>
      </c>
      <c r="B185" s="86">
        <v>127</v>
      </c>
      <c r="C185" s="87">
        <v>750078</v>
      </c>
      <c r="D185" s="88">
        <v>680466</v>
      </c>
      <c r="E185" s="88"/>
      <c r="F185" s="117" t="s">
        <v>595</v>
      </c>
      <c r="G185" s="109" t="s">
        <v>596</v>
      </c>
      <c r="H185" s="109"/>
      <c r="I185" s="91">
        <v>1</v>
      </c>
      <c r="J185" s="93" t="s">
        <v>597</v>
      </c>
      <c r="K185" s="93">
        <v>1</v>
      </c>
      <c r="L185" s="93" t="s">
        <v>597</v>
      </c>
      <c r="M185" s="116">
        <f>120/10*12</f>
        <v>144</v>
      </c>
      <c r="N185" s="116">
        <f>93/9*12</f>
        <v>124</v>
      </c>
      <c r="O185" s="116">
        <v>126.66666666666667</v>
      </c>
      <c r="P185" s="94">
        <v>133</v>
      </c>
      <c r="Q185" s="95">
        <v>13</v>
      </c>
      <c r="R185" s="96">
        <f>P185-Q185</f>
        <v>120</v>
      </c>
      <c r="S185" s="155">
        <v>1829.7</v>
      </c>
      <c r="T185" s="98">
        <f t="shared" si="37"/>
        <v>219564</v>
      </c>
      <c r="U185" s="148">
        <v>30</v>
      </c>
      <c r="V185" s="100">
        <f t="shared" si="38"/>
        <v>54891</v>
      </c>
      <c r="W185" s="101">
        <v>30</v>
      </c>
      <c r="X185" s="102" t="s">
        <v>203</v>
      </c>
      <c r="Y185" s="103">
        <v>1829.7</v>
      </c>
      <c r="Z185" s="103">
        <f>Y185*W185</f>
        <v>54891</v>
      </c>
      <c r="AA185" s="148">
        <v>30</v>
      </c>
      <c r="AB185" s="100">
        <f t="shared" si="39"/>
        <v>54891</v>
      </c>
      <c r="AC185" s="104">
        <v>30</v>
      </c>
      <c r="AD185" s="105" t="s">
        <v>203</v>
      </c>
      <c r="AE185" s="105">
        <v>1829.7</v>
      </c>
      <c r="AF185" s="105">
        <f t="shared" si="49"/>
        <v>54891</v>
      </c>
      <c r="AG185" s="99">
        <v>30</v>
      </c>
      <c r="AH185" s="100">
        <f t="shared" si="40"/>
        <v>54891</v>
      </c>
      <c r="AI185" s="106">
        <v>30</v>
      </c>
      <c r="AJ185" s="107" t="s">
        <v>203</v>
      </c>
      <c r="AK185" s="107">
        <v>1829.7</v>
      </c>
      <c r="AL185" s="107">
        <f>AK185*AI185</f>
        <v>54891</v>
      </c>
      <c r="AM185" s="99">
        <v>30</v>
      </c>
      <c r="AN185" s="100">
        <f t="shared" si="41"/>
        <v>54891</v>
      </c>
      <c r="AO185" s="108">
        <f t="shared" si="42"/>
        <v>120</v>
      </c>
      <c r="AP185" s="308">
        <f t="shared" si="43"/>
        <v>164673</v>
      </c>
    </row>
    <row r="186" spans="1:42" ht="20.45" customHeight="1">
      <c r="A186" s="85" t="s">
        <v>598</v>
      </c>
      <c r="B186" s="86">
        <v>128</v>
      </c>
      <c r="C186" s="87">
        <v>1198224</v>
      </c>
      <c r="D186" s="88">
        <v>1140927</v>
      </c>
      <c r="E186" s="88"/>
      <c r="F186" s="117" t="s">
        <v>599</v>
      </c>
      <c r="G186" s="109" t="s">
        <v>600</v>
      </c>
      <c r="H186" s="109" t="s">
        <v>110</v>
      </c>
      <c r="I186" s="91">
        <v>1</v>
      </c>
      <c r="J186" s="93" t="s">
        <v>83</v>
      </c>
      <c r="K186" s="93">
        <v>50</v>
      </c>
      <c r="L186" s="93" t="s">
        <v>84</v>
      </c>
      <c r="M186" s="116">
        <f>2*3846/10*12/100</f>
        <v>92.304000000000016</v>
      </c>
      <c r="N186" s="116">
        <f>2*50/9*12</f>
        <v>133.33333333333331</v>
      </c>
      <c r="O186" s="116">
        <v>113.33333333333333</v>
      </c>
      <c r="P186" s="94">
        <v>120</v>
      </c>
      <c r="Q186" s="95">
        <v>0</v>
      </c>
      <c r="R186" s="112">
        <v>60</v>
      </c>
      <c r="S186" s="156">
        <v>550</v>
      </c>
      <c r="T186" s="98">
        <f t="shared" si="37"/>
        <v>33000</v>
      </c>
      <c r="U186" s="148">
        <v>0</v>
      </c>
      <c r="V186" s="100">
        <f t="shared" si="38"/>
        <v>0</v>
      </c>
      <c r="W186" s="101"/>
      <c r="X186" s="102"/>
      <c r="Y186" s="103"/>
      <c r="Z186" s="103"/>
      <c r="AA186" s="148">
        <v>0</v>
      </c>
      <c r="AB186" s="100">
        <f t="shared" si="39"/>
        <v>0</v>
      </c>
      <c r="AC186" s="104"/>
      <c r="AD186" s="105"/>
      <c r="AE186" s="105"/>
      <c r="AF186" s="105"/>
      <c r="AG186" s="99">
        <v>60</v>
      </c>
      <c r="AH186" s="100">
        <f t="shared" si="40"/>
        <v>33000</v>
      </c>
      <c r="AI186" s="106">
        <v>60</v>
      </c>
      <c r="AJ186" s="107" t="s">
        <v>110</v>
      </c>
      <c r="AK186" s="107">
        <v>535</v>
      </c>
      <c r="AL186" s="107">
        <f>AK186*AI186</f>
        <v>32100</v>
      </c>
      <c r="AM186" s="99">
        <v>0</v>
      </c>
      <c r="AN186" s="100">
        <f t="shared" si="41"/>
        <v>0</v>
      </c>
      <c r="AO186" s="108">
        <f t="shared" si="42"/>
        <v>60</v>
      </c>
      <c r="AP186" s="308">
        <f t="shared" si="43"/>
        <v>32100</v>
      </c>
    </row>
    <row r="187" spans="1:42" ht="20.45" customHeight="1">
      <c r="A187" s="85" t="s">
        <v>601</v>
      </c>
      <c r="B187" s="86">
        <v>129</v>
      </c>
      <c r="C187" s="87" t="s">
        <v>602</v>
      </c>
      <c r="D187" s="88">
        <v>911331</v>
      </c>
      <c r="E187" s="88"/>
      <c r="F187" s="89" t="s">
        <v>603</v>
      </c>
      <c r="G187" s="113" t="s">
        <v>604</v>
      </c>
      <c r="H187" s="113"/>
      <c r="I187" s="114">
        <v>1</v>
      </c>
      <c r="J187" s="92" t="s">
        <v>51</v>
      </c>
      <c r="K187" s="93">
        <v>1</v>
      </c>
      <c r="L187" s="93" t="s">
        <v>127</v>
      </c>
      <c r="M187" s="116">
        <f>957/10*12</f>
        <v>1148.4000000000001</v>
      </c>
      <c r="N187" s="116">
        <f>1017/9*12</f>
        <v>1356</v>
      </c>
      <c r="O187" s="116">
        <v>1165.3333333333333</v>
      </c>
      <c r="P187" s="94">
        <v>1280</v>
      </c>
      <c r="Q187" s="95">
        <v>80</v>
      </c>
      <c r="R187" s="96">
        <f>P187-Q187</f>
        <v>1200</v>
      </c>
      <c r="S187" s="100">
        <v>106</v>
      </c>
      <c r="T187" s="98">
        <f t="shared" si="37"/>
        <v>127200</v>
      </c>
      <c r="U187" s="99">
        <v>300</v>
      </c>
      <c r="V187" s="100">
        <f t="shared" si="38"/>
        <v>31800</v>
      </c>
      <c r="W187" s="101">
        <v>300</v>
      </c>
      <c r="X187" s="102" t="s">
        <v>605</v>
      </c>
      <c r="Y187" s="103">
        <v>105.93</v>
      </c>
      <c r="Z187" s="103">
        <f>Y187*W187</f>
        <v>31779.000000000004</v>
      </c>
      <c r="AA187" s="99">
        <v>300</v>
      </c>
      <c r="AB187" s="100">
        <f t="shared" si="39"/>
        <v>31800</v>
      </c>
      <c r="AC187" s="104">
        <v>300</v>
      </c>
      <c r="AD187" s="105" t="s">
        <v>89</v>
      </c>
      <c r="AE187" s="105">
        <v>91</v>
      </c>
      <c r="AF187" s="105">
        <f t="shared" ref="AF187:AF194" si="50">AE187*AC187</f>
        <v>27300</v>
      </c>
      <c r="AG187" s="99">
        <v>300</v>
      </c>
      <c r="AH187" s="100">
        <f t="shared" si="40"/>
        <v>31800</v>
      </c>
      <c r="AI187" s="106">
        <v>300</v>
      </c>
      <c r="AJ187" s="107" t="s">
        <v>605</v>
      </c>
      <c r="AK187" s="107">
        <v>105.93</v>
      </c>
      <c r="AL187" s="107">
        <f>AK187*AI187</f>
        <v>31779.000000000004</v>
      </c>
      <c r="AM187" s="99">
        <v>300</v>
      </c>
      <c r="AN187" s="100">
        <f t="shared" si="41"/>
        <v>31800</v>
      </c>
      <c r="AO187" s="108">
        <f t="shared" si="42"/>
        <v>1200</v>
      </c>
      <c r="AP187" s="308">
        <f t="shared" si="43"/>
        <v>90858</v>
      </c>
    </row>
    <row r="188" spans="1:42" ht="20.45" customHeight="1">
      <c r="A188" s="85" t="s">
        <v>606</v>
      </c>
      <c r="B188" s="86">
        <v>130</v>
      </c>
      <c r="C188" s="87">
        <v>917172</v>
      </c>
      <c r="D188" s="88">
        <v>767348</v>
      </c>
      <c r="E188" s="88"/>
      <c r="F188" s="117" t="s">
        <v>607</v>
      </c>
      <c r="G188" s="109" t="s">
        <v>608</v>
      </c>
      <c r="H188" s="113"/>
      <c r="I188" s="114">
        <v>1</v>
      </c>
      <c r="J188" s="92" t="s">
        <v>88</v>
      </c>
      <c r="K188" s="93">
        <v>1</v>
      </c>
      <c r="L188" s="93" t="s">
        <v>73</v>
      </c>
      <c r="M188" s="116">
        <v>0</v>
      </c>
      <c r="N188" s="116">
        <v>0</v>
      </c>
      <c r="O188" s="116">
        <v>0</v>
      </c>
      <c r="P188" s="94">
        <v>10</v>
      </c>
      <c r="Q188" s="95">
        <v>0</v>
      </c>
      <c r="R188" s="96">
        <f>P188-Q188</f>
        <v>10</v>
      </c>
      <c r="S188" s="97">
        <v>20</v>
      </c>
      <c r="T188" s="98">
        <f t="shared" si="37"/>
        <v>200</v>
      </c>
      <c r="U188" s="99">
        <v>0</v>
      </c>
      <c r="V188" s="100">
        <f t="shared" si="38"/>
        <v>0</v>
      </c>
      <c r="W188" s="101"/>
      <c r="X188" s="102"/>
      <c r="Y188" s="103"/>
      <c r="Z188" s="103"/>
      <c r="AA188" s="99">
        <v>0</v>
      </c>
      <c r="AB188" s="100">
        <f t="shared" si="39"/>
        <v>0</v>
      </c>
      <c r="AC188" s="104">
        <v>8</v>
      </c>
      <c r="AD188" s="105" t="s">
        <v>609</v>
      </c>
      <c r="AE188" s="105">
        <v>310</v>
      </c>
      <c r="AF188" s="105">
        <f t="shared" si="50"/>
        <v>2480</v>
      </c>
      <c r="AG188" s="99">
        <v>10</v>
      </c>
      <c r="AH188" s="100">
        <f t="shared" si="40"/>
        <v>200</v>
      </c>
      <c r="AI188" s="106"/>
      <c r="AJ188" s="107"/>
      <c r="AK188" s="107"/>
      <c r="AL188" s="107"/>
      <c r="AM188" s="99">
        <v>0</v>
      </c>
      <c r="AN188" s="100">
        <f t="shared" si="41"/>
        <v>0</v>
      </c>
      <c r="AO188" s="108">
        <f t="shared" si="42"/>
        <v>10</v>
      </c>
      <c r="AP188" s="308">
        <f t="shared" si="43"/>
        <v>2480</v>
      </c>
    </row>
    <row r="189" spans="1:42" ht="20.45" customHeight="1">
      <c r="A189" s="85" t="s">
        <v>610</v>
      </c>
      <c r="B189" s="86">
        <v>131</v>
      </c>
      <c r="C189" s="87">
        <v>536094</v>
      </c>
      <c r="D189" s="88">
        <v>535312</v>
      </c>
      <c r="E189" s="88"/>
      <c r="F189" s="89" t="s">
        <v>611</v>
      </c>
      <c r="G189" s="113" t="s">
        <v>612</v>
      </c>
      <c r="H189" s="113"/>
      <c r="I189" s="114">
        <v>1</v>
      </c>
      <c r="J189" s="92" t="s">
        <v>613</v>
      </c>
      <c r="K189" s="93">
        <v>5</v>
      </c>
      <c r="L189" s="93" t="s">
        <v>614</v>
      </c>
      <c r="M189" s="116">
        <v>0</v>
      </c>
      <c r="N189" s="116">
        <v>20</v>
      </c>
      <c r="O189" s="116">
        <v>10.666666666666666</v>
      </c>
      <c r="P189" s="94">
        <v>12</v>
      </c>
      <c r="Q189" s="95">
        <v>0</v>
      </c>
      <c r="R189" s="112">
        <v>10</v>
      </c>
      <c r="S189" s="97">
        <v>290</v>
      </c>
      <c r="T189" s="98">
        <f t="shared" si="37"/>
        <v>2900</v>
      </c>
      <c r="U189" s="99">
        <v>0</v>
      </c>
      <c r="V189" s="100">
        <f t="shared" si="38"/>
        <v>0</v>
      </c>
      <c r="W189" s="101"/>
      <c r="X189" s="102"/>
      <c r="Y189" s="103"/>
      <c r="Z189" s="103"/>
      <c r="AA189" s="99">
        <v>10</v>
      </c>
      <c r="AB189" s="100">
        <f t="shared" si="39"/>
        <v>2900</v>
      </c>
      <c r="AC189" s="104">
        <v>10</v>
      </c>
      <c r="AD189" s="105" t="s">
        <v>609</v>
      </c>
      <c r="AE189" s="105">
        <f>310/5</f>
        <v>62</v>
      </c>
      <c r="AF189" s="105">
        <f t="shared" si="50"/>
        <v>620</v>
      </c>
      <c r="AG189" s="99">
        <v>0</v>
      </c>
      <c r="AH189" s="100">
        <f t="shared" si="40"/>
        <v>0</v>
      </c>
      <c r="AI189" s="106"/>
      <c r="AJ189" s="107"/>
      <c r="AK189" s="107"/>
      <c r="AL189" s="107"/>
      <c r="AM189" s="99">
        <v>0</v>
      </c>
      <c r="AN189" s="100">
        <f t="shared" si="41"/>
        <v>0</v>
      </c>
      <c r="AO189" s="108">
        <f t="shared" si="42"/>
        <v>10</v>
      </c>
      <c r="AP189" s="308">
        <f t="shared" si="43"/>
        <v>620</v>
      </c>
    </row>
    <row r="190" spans="1:42" ht="20.45" customHeight="1">
      <c r="A190" s="85" t="s">
        <v>615</v>
      </c>
      <c r="B190" s="86">
        <v>132</v>
      </c>
      <c r="C190" s="87" t="s">
        <v>616</v>
      </c>
      <c r="D190" s="88">
        <v>838006</v>
      </c>
      <c r="E190" s="88"/>
      <c r="F190" s="89" t="s">
        <v>617</v>
      </c>
      <c r="G190" s="113" t="s">
        <v>618</v>
      </c>
      <c r="H190" s="113" t="s">
        <v>110</v>
      </c>
      <c r="I190" s="114">
        <v>1</v>
      </c>
      <c r="J190" s="92" t="s">
        <v>115</v>
      </c>
      <c r="K190" s="93">
        <v>1</v>
      </c>
      <c r="L190" s="93" t="s">
        <v>540</v>
      </c>
      <c r="M190" s="116">
        <f>2050/10*12</f>
        <v>2460</v>
      </c>
      <c r="N190" s="116">
        <f>2493/9*12</f>
        <v>3324</v>
      </c>
      <c r="O190" s="116">
        <v>3500</v>
      </c>
      <c r="P190" s="94">
        <v>3550</v>
      </c>
      <c r="Q190" s="95">
        <v>550</v>
      </c>
      <c r="R190" s="96">
        <f>P190-Q190</f>
        <v>3000</v>
      </c>
      <c r="S190" s="97">
        <v>35</v>
      </c>
      <c r="T190" s="98">
        <f t="shared" si="37"/>
        <v>105000</v>
      </c>
      <c r="U190" s="99">
        <v>800</v>
      </c>
      <c r="V190" s="100">
        <f t="shared" si="38"/>
        <v>28000</v>
      </c>
      <c r="W190" s="101">
        <v>800</v>
      </c>
      <c r="X190" s="102" t="s">
        <v>110</v>
      </c>
      <c r="Y190" s="103">
        <v>23</v>
      </c>
      <c r="Z190" s="103">
        <f>Y190*W190</f>
        <v>18400</v>
      </c>
      <c r="AA190" s="99">
        <v>800</v>
      </c>
      <c r="AB190" s="100">
        <f t="shared" si="39"/>
        <v>28000</v>
      </c>
      <c r="AC190" s="104"/>
      <c r="AD190" s="105"/>
      <c r="AE190" s="105"/>
      <c r="AF190" s="105">
        <f t="shared" si="50"/>
        <v>0</v>
      </c>
      <c r="AG190" s="99">
        <v>700</v>
      </c>
      <c r="AH190" s="100">
        <f t="shared" si="40"/>
        <v>24500</v>
      </c>
      <c r="AI190" s="106">
        <v>800</v>
      </c>
      <c r="AJ190" s="107" t="s">
        <v>110</v>
      </c>
      <c r="AK190" s="107">
        <v>23</v>
      </c>
      <c r="AL190" s="107">
        <f>AK190*AI190</f>
        <v>18400</v>
      </c>
      <c r="AM190" s="99">
        <v>700</v>
      </c>
      <c r="AN190" s="100">
        <f t="shared" si="41"/>
        <v>24500</v>
      </c>
      <c r="AO190" s="108">
        <f t="shared" si="42"/>
        <v>3000</v>
      </c>
      <c r="AP190" s="308">
        <f t="shared" si="43"/>
        <v>36800</v>
      </c>
    </row>
    <row r="191" spans="1:42" ht="20.45" customHeight="1">
      <c r="A191" s="85" t="s">
        <v>624</v>
      </c>
      <c r="B191" s="86">
        <v>134</v>
      </c>
      <c r="C191" s="87" t="s">
        <v>625</v>
      </c>
      <c r="D191" s="88">
        <v>263968</v>
      </c>
      <c r="E191" s="88"/>
      <c r="F191" s="89" t="s">
        <v>626</v>
      </c>
      <c r="G191" s="109" t="s">
        <v>627</v>
      </c>
      <c r="H191" s="109" t="s">
        <v>110</v>
      </c>
      <c r="I191" s="91">
        <v>1</v>
      </c>
      <c r="J191" s="92" t="s">
        <v>184</v>
      </c>
      <c r="K191" s="93">
        <v>100</v>
      </c>
      <c r="L191" s="93" t="s">
        <v>185</v>
      </c>
      <c r="M191" s="116">
        <f>7*12/10</f>
        <v>8.4</v>
      </c>
      <c r="N191" s="116">
        <f>6/9*12</f>
        <v>8</v>
      </c>
      <c r="O191" s="116">
        <v>5.333333333333333</v>
      </c>
      <c r="P191" s="94">
        <v>5</v>
      </c>
      <c r="Q191" s="95">
        <v>3</v>
      </c>
      <c r="R191" s="112">
        <v>42</v>
      </c>
      <c r="S191" s="110">
        <v>380</v>
      </c>
      <c r="T191" s="98">
        <f t="shared" si="37"/>
        <v>15960</v>
      </c>
      <c r="U191" s="99">
        <v>12</v>
      </c>
      <c r="V191" s="100">
        <f t="shared" si="38"/>
        <v>4560</v>
      </c>
      <c r="W191" s="101">
        <v>12</v>
      </c>
      <c r="X191" s="102" t="s">
        <v>110</v>
      </c>
      <c r="Y191" s="103">
        <v>380</v>
      </c>
      <c r="Z191" s="103">
        <f>Y191*W191</f>
        <v>4560</v>
      </c>
      <c r="AA191" s="99">
        <v>10</v>
      </c>
      <c r="AB191" s="100">
        <f t="shared" si="39"/>
        <v>3800</v>
      </c>
      <c r="AC191" s="104">
        <f>20*50/100</f>
        <v>10</v>
      </c>
      <c r="AD191" s="105" t="s">
        <v>110</v>
      </c>
      <c r="AE191" s="105">
        <v>380</v>
      </c>
      <c r="AF191" s="105">
        <f t="shared" si="50"/>
        <v>3800</v>
      </c>
      <c r="AG191" s="99">
        <v>10</v>
      </c>
      <c r="AH191" s="100">
        <f t="shared" si="40"/>
        <v>3800</v>
      </c>
      <c r="AI191" s="106"/>
      <c r="AJ191" s="107"/>
      <c r="AK191" s="107"/>
      <c r="AL191" s="107"/>
      <c r="AM191" s="99">
        <v>10</v>
      </c>
      <c r="AN191" s="100">
        <f t="shared" si="41"/>
        <v>3800</v>
      </c>
      <c r="AO191" s="108">
        <f t="shared" si="42"/>
        <v>42</v>
      </c>
      <c r="AP191" s="308">
        <f t="shared" si="43"/>
        <v>8360</v>
      </c>
    </row>
    <row r="192" spans="1:42" ht="20.45" customHeight="1">
      <c r="A192" s="85" t="s">
        <v>628</v>
      </c>
      <c r="B192" s="86">
        <v>135</v>
      </c>
      <c r="C192" s="87" t="s">
        <v>629</v>
      </c>
      <c r="D192" s="88">
        <v>247815</v>
      </c>
      <c r="E192" s="88"/>
      <c r="F192" s="89" t="s">
        <v>630</v>
      </c>
      <c r="G192" s="109" t="s">
        <v>631</v>
      </c>
      <c r="H192" s="109" t="s">
        <v>110</v>
      </c>
      <c r="I192" s="91">
        <v>1</v>
      </c>
      <c r="J192" s="92" t="s">
        <v>83</v>
      </c>
      <c r="K192" s="93">
        <v>1000</v>
      </c>
      <c r="L192" s="93" t="s">
        <v>84</v>
      </c>
      <c r="M192" s="116">
        <f>73.5/10*12</f>
        <v>88.199999999999989</v>
      </c>
      <c r="N192" s="116">
        <f>73/9*12</f>
        <v>97.333333333333329</v>
      </c>
      <c r="O192" s="116">
        <v>104</v>
      </c>
      <c r="P192" s="94">
        <v>110</v>
      </c>
      <c r="Q192" s="95">
        <v>10</v>
      </c>
      <c r="R192" s="96">
        <f>P192-Q192</f>
        <v>100</v>
      </c>
      <c r="S192" s="131">
        <v>600</v>
      </c>
      <c r="T192" s="98">
        <f t="shared" si="37"/>
        <v>60000</v>
      </c>
      <c r="U192" s="99">
        <v>25</v>
      </c>
      <c r="V192" s="100">
        <f t="shared" si="38"/>
        <v>15000</v>
      </c>
      <c r="W192" s="101">
        <v>25</v>
      </c>
      <c r="X192" s="102" t="s">
        <v>632</v>
      </c>
      <c r="Y192" s="103">
        <f>215*2</f>
        <v>430</v>
      </c>
      <c r="Z192" s="103">
        <f>Y192*W192</f>
        <v>10750</v>
      </c>
      <c r="AA192" s="99">
        <v>25</v>
      </c>
      <c r="AB192" s="100">
        <f t="shared" si="39"/>
        <v>15000</v>
      </c>
      <c r="AC192" s="104">
        <v>25</v>
      </c>
      <c r="AD192" s="105" t="s">
        <v>632</v>
      </c>
      <c r="AE192" s="105">
        <f>215*2</f>
        <v>430</v>
      </c>
      <c r="AF192" s="105">
        <f t="shared" si="50"/>
        <v>10750</v>
      </c>
      <c r="AG192" s="99">
        <v>25</v>
      </c>
      <c r="AH192" s="100">
        <f t="shared" si="40"/>
        <v>15000</v>
      </c>
      <c r="AI192" s="106">
        <v>25</v>
      </c>
      <c r="AJ192" s="107" t="s">
        <v>632</v>
      </c>
      <c r="AK192" s="107">
        <v>430</v>
      </c>
      <c r="AL192" s="107">
        <f t="shared" ref="AL192:AL200" si="51">AK192*AI192</f>
        <v>10750</v>
      </c>
      <c r="AM192" s="99">
        <v>25</v>
      </c>
      <c r="AN192" s="100">
        <f t="shared" si="41"/>
        <v>15000</v>
      </c>
      <c r="AO192" s="108">
        <f t="shared" si="42"/>
        <v>100</v>
      </c>
      <c r="AP192" s="308">
        <f t="shared" si="43"/>
        <v>32250</v>
      </c>
    </row>
    <row r="193" spans="1:50" ht="20.45" customHeight="1">
      <c r="A193" s="85" t="s">
        <v>633</v>
      </c>
      <c r="B193" s="86">
        <v>136</v>
      </c>
      <c r="C193" s="87" t="s">
        <v>634</v>
      </c>
      <c r="D193" s="88">
        <v>830384</v>
      </c>
      <c r="E193" s="88"/>
      <c r="F193" s="89" t="s">
        <v>635</v>
      </c>
      <c r="G193" s="109" t="s">
        <v>636</v>
      </c>
      <c r="H193" s="109"/>
      <c r="I193" s="114">
        <v>1</v>
      </c>
      <c r="J193" s="118" t="s">
        <v>88</v>
      </c>
      <c r="K193" s="115">
        <v>1</v>
      </c>
      <c r="L193" s="115" t="s">
        <v>73</v>
      </c>
      <c r="M193" s="116">
        <f>230*12/10</f>
        <v>276</v>
      </c>
      <c r="N193" s="116">
        <f>230/9*12</f>
        <v>306.66666666666669</v>
      </c>
      <c r="O193" s="116">
        <v>290.66666666666669</v>
      </c>
      <c r="P193" s="94">
        <v>337</v>
      </c>
      <c r="Q193" s="95">
        <v>37</v>
      </c>
      <c r="R193" s="96">
        <f>P193-Q193</f>
        <v>300</v>
      </c>
      <c r="S193" s="97">
        <v>204</v>
      </c>
      <c r="T193" s="98">
        <f t="shared" si="37"/>
        <v>61200</v>
      </c>
      <c r="U193" s="99">
        <v>100</v>
      </c>
      <c r="V193" s="100">
        <f t="shared" si="38"/>
        <v>20400</v>
      </c>
      <c r="W193" s="101">
        <v>100</v>
      </c>
      <c r="X193" s="102" t="s">
        <v>637</v>
      </c>
      <c r="Y193" s="103">
        <v>203.3</v>
      </c>
      <c r="Z193" s="103">
        <f>Y193*W193</f>
        <v>20330</v>
      </c>
      <c r="AA193" s="99">
        <v>100</v>
      </c>
      <c r="AB193" s="100">
        <f t="shared" si="39"/>
        <v>20400</v>
      </c>
      <c r="AC193" s="104">
        <v>100</v>
      </c>
      <c r="AD193" s="105" t="s">
        <v>637</v>
      </c>
      <c r="AE193" s="105">
        <v>203.3</v>
      </c>
      <c r="AF193" s="105">
        <f t="shared" si="50"/>
        <v>20330</v>
      </c>
      <c r="AG193" s="99">
        <v>100</v>
      </c>
      <c r="AH193" s="100">
        <f t="shared" si="40"/>
        <v>20400</v>
      </c>
      <c r="AI193" s="106"/>
      <c r="AJ193" s="107"/>
      <c r="AK193" s="107"/>
      <c r="AL193" s="107">
        <f t="shared" si="51"/>
        <v>0</v>
      </c>
      <c r="AM193" s="99">
        <v>0</v>
      </c>
      <c r="AN193" s="100">
        <f t="shared" si="41"/>
        <v>0</v>
      </c>
      <c r="AO193" s="108">
        <f t="shared" si="42"/>
        <v>300</v>
      </c>
      <c r="AP193" s="308">
        <f t="shared" si="43"/>
        <v>40660</v>
      </c>
    </row>
    <row r="194" spans="1:50" ht="20.45" customHeight="1">
      <c r="A194" s="85" t="s">
        <v>638</v>
      </c>
      <c r="B194" s="86">
        <v>137</v>
      </c>
      <c r="C194" s="87" t="s">
        <v>639</v>
      </c>
      <c r="D194" s="88">
        <v>764475</v>
      </c>
      <c r="E194" s="88"/>
      <c r="F194" s="89" t="s">
        <v>640</v>
      </c>
      <c r="G194" s="109" t="s">
        <v>641</v>
      </c>
      <c r="H194" s="109"/>
      <c r="I194" s="91">
        <v>1</v>
      </c>
      <c r="J194" s="92" t="s">
        <v>88</v>
      </c>
      <c r="K194" s="93">
        <v>1</v>
      </c>
      <c r="L194" s="93" t="s">
        <v>73</v>
      </c>
      <c r="M194" s="116">
        <f>1000/10*12</f>
        <v>1200</v>
      </c>
      <c r="N194" s="116">
        <f>800/9*12</f>
        <v>1066.6666666666665</v>
      </c>
      <c r="O194" s="116">
        <v>1200</v>
      </c>
      <c r="P194" s="94">
        <v>1250</v>
      </c>
      <c r="Q194" s="95">
        <v>50</v>
      </c>
      <c r="R194" s="96">
        <f>P194-Q194</f>
        <v>1200</v>
      </c>
      <c r="S194" s="97">
        <v>29.54</v>
      </c>
      <c r="T194" s="98">
        <f t="shared" si="37"/>
        <v>35448</v>
      </c>
      <c r="U194" s="99">
        <v>300</v>
      </c>
      <c r="V194" s="100">
        <f t="shared" si="38"/>
        <v>8862</v>
      </c>
      <c r="W194" s="101">
        <v>300</v>
      </c>
      <c r="X194" s="102" t="s">
        <v>342</v>
      </c>
      <c r="Y194" s="103">
        <f>1170/50</f>
        <v>23.4</v>
      </c>
      <c r="Z194" s="103">
        <f>Y194*W194</f>
        <v>7020</v>
      </c>
      <c r="AA194" s="99">
        <v>300</v>
      </c>
      <c r="AB194" s="100">
        <f t="shared" si="39"/>
        <v>8862</v>
      </c>
      <c r="AC194" s="104">
        <v>300</v>
      </c>
      <c r="AD194" s="105" t="s">
        <v>342</v>
      </c>
      <c r="AE194" s="105">
        <v>23.4</v>
      </c>
      <c r="AF194" s="105">
        <f t="shared" si="50"/>
        <v>7020</v>
      </c>
      <c r="AG194" s="99">
        <v>300</v>
      </c>
      <c r="AH194" s="100">
        <f t="shared" si="40"/>
        <v>8862</v>
      </c>
      <c r="AI194" s="106">
        <v>300</v>
      </c>
      <c r="AJ194" s="107" t="s">
        <v>642</v>
      </c>
      <c r="AK194" s="107">
        <v>23</v>
      </c>
      <c r="AL194" s="107">
        <f t="shared" si="51"/>
        <v>6900</v>
      </c>
      <c r="AM194" s="99">
        <v>300</v>
      </c>
      <c r="AN194" s="100">
        <f t="shared" si="41"/>
        <v>8862</v>
      </c>
      <c r="AO194" s="108">
        <f t="shared" si="42"/>
        <v>1200</v>
      </c>
      <c r="AP194" s="308">
        <f t="shared" si="43"/>
        <v>20940</v>
      </c>
    </row>
    <row r="195" spans="1:50" ht="20.45" customHeight="1">
      <c r="A195" s="85" t="s">
        <v>648</v>
      </c>
      <c r="B195" s="86">
        <v>139</v>
      </c>
      <c r="C195" s="87" t="s">
        <v>649</v>
      </c>
      <c r="D195" s="88">
        <v>785195</v>
      </c>
      <c r="E195" s="88"/>
      <c r="F195" s="89" t="s">
        <v>650</v>
      </c>
      <c r="G195" s="109" t="s">
        <v>651</v>
      </c>
      <c r="H195" s="109"/>
      <c r="I195" s="91">
        <v>1</v>
      </c>
      <c r="J195" s="92" t="s">
        <v>51</v>
      </c>
      <c r="K195" s="93">
        <v>1</v>
      </c>
      <c r="L195" s="93" t="s">
        <v>52</v>
      </c>
      <c r="M195" s="116">
        <f>7</f>
        <v>7</v>
      </c>
      <c r="N195" s="116">
        <f>6/9*12</f>
        <v>8</v>
      </c>
      <c r="O195" s="116">
        <v>1.3333333333333333</v>
      </c>
      <c r="P195" s="94">
        <v>5</v>
      </c>
      <c r="Q195" s="95">
        <v>5</v>
      </c>
      <c r="R195" s="96">
        <f>P195-Q195</f>
        <v>0</v>
      </c>
      <c r="S195" s="97">
        <v>53</v>
      </c>
      <c r="T195" s="98">
        <f t="shared" si="37"/>
        <v>0</v>
      </c>
      <c r="U195" s="99">
        <v>0</v>
      </c>
      <c r="V195" s="100">
        <f t="shared" si="38"/>
        <v>0</v>
      </c>
      <c r="W195" s="101"/>
      <c r="X195" s="102"/>
      <c r="Y195" s="103"/>
      <c r="Z195" s="103"/>
      <c r="AA195" s="99">
        <v>0</v>
      </c>
      <c r="AB195" s="100">
        <f t="shared" si="39"/>
        <v>0</v>
      </c>
      <c r="AC195" s="104"/>
      <c r="AD195" s="105"/>
      <c r="AE195" s="105"/>
      <c r="AF195" s="105"/>
      <c r="AG195" s="99">
        <v>0</v>
      </c>
      <c r="AH195" s="100">
        <f t="shared" si="40"/>
        <v>0</v>
      </c>
      <c r="AI195" s="106"/>
      <c r="AJ195" s="107"/>
      <c r="AK195" s="107"/>
      <c r="AL195" s="107">
        <f t="shared" si="51"/>
        <v>0</v>
      </c>
      <c r="AM195" s="99">
        <v>0</v>
      </c>
      <c r="AN195" s="100">
        <f t="shared" si="41"/>
        <v>0</v>
      </c>
      <c r="AO195" s="108">
        <f t="shared" si="42"/>
        <v>0</v>
      </c>
      <c r="AP195" s="308">
        <f t="shared" si="43"/>
        <v>0</v>
      </c>
    </row>
    <row r="196" spans="1:50" ht="20.45" customHeight="1">
      <c r="A196" s="85" t="s">
        <v>652</v>
      </c>
      <c r="B196" s="86">
        <v>140</v>
      </c>
      <c r="C196" s="87" t="s">
        <v>653</v>
      </c>
      <c r="D196" s="88">
        <v>562364</v>
      </c>
      <c r="E196" s="88"/>
      <c r="F196" s="89" t="s">
        <v>654</v>
      </c>
      <c r="G196" s="109" t="s">
        <v>655</v>
      </c>
      <c r="H196" s="109" t="s">
        <v>110</v>
      </c>
      <c r="I196" s="91">
        <v>1</v>
      </c>
      <c r="J196" s="92" t="s">
        <v>88</v>
      </c>
      <c r="K196" s="93">
        <v>1</v>
      </c>
      <c r="L196" s="93" t="s">
        <v>73</v>
      </c>
      <c r="M196" s="116">
        <f>5450/10*12</f>
        <v>6540</v>
      </c>
      <c r="N196" s="116">
        <f>4600/9*12</f>
        <v>6133.333333333333</v>
      </c>
      <c r="O196" s="116">
        <v>8533.3333333333339</v>
      </c>
      <c r="P196" s="94">
        <v>9000</v>
      </c>
      <c r="Q196" s="95">
        <v>0</v>
      </c>
      <c r="R196" s="96">
        <f>P196-Q196</f>
        <v>9000</v>
      </c>
      <c r="S196" s="100">
        <v>6.5</v>
      </c>
      <c r="T196" s="98">
        <f t="shared" si="37"/>
        <v>58500</v>
      </c>
      <c r="U196" s="99">
        <v>2500</v>
      </c>
      <c r="V196" s="100">
        <f t="shared" si="38"/>
        <v>16250</v>
      </c>
      <c r="W196" s="101">
        <v>2500</v>
      </c>
      <c r="X196" s="102" t="s">
        <v>212</v>
      </c>
      <c r="Y196" s="103">
        <f>265/50</f>
        <v>5.3</v>
      </c>
      <c r="Z196" s="103">
        <f>Y196*W196</f>
        <v>13250</v>
      </c>
      <c r="AA196" s="99">
        <v>2500</v>
      </c>
      <c r="AB196" s="100">
        <f t="shared" si="39"/>
        <v>16250</v>
      </c>
      <c r="AC196" s="104">
        <v>2500</v>
      </c>
      <c r="AD196" s="105" t="s">
        <v>212</v>
      </c>
      <c r="AE196" s="105">
        <f>265/50</f>
        <v>5.3</v>
      </c>
      <c r="AF196" s="105">
        <f t="shared" ref="AF196:AF208" si="52">AE196*AC196</f>
        <v>13250</v>
      </c>
      <c r="AG196" s="99">
        <v>2000</v>
      </c>
      <c r="AH196" s="100">
        <f t="shared" si="40"/>
        <v>13000</v>
      </c>
      <c r="AI196" s="106"/>
      <c r="AJ196" s="107"/>
      <c r="AK196" s="107"/>
      <c r="AL196" s="107">
        <f t="shared" si="51"/>
        <v>0</v>
      </c>
      <c r="AM196" s="99">
        <v>2000</v>
      </c>
      <c r="AN196" s="100">
        <f t="shared" si="41"/>
        <v>13000</v>
      </c>
      <c r="AO196" s="108">
        <f t="shared" si="42"/>
        <v>9000</v>
      </c>
      <c r="AP196" s="308">
        <f t="shared" si="43"/>
        <v>26500</v>
      </c>
    </row>
    <row r="197" spans="1:50" ht="20.45" customHeight="1">
      <c r="A197" s="85" t="s">
        <v>656</v>
      </c>
      <c r="B197" s="86">
        <v>141</v>
      </c>
      <c r="C197" s="87" t="s">
        <v>657</v>
      </c>
      <c r="D197" s="88">
        <v>562412</v>
      </c>
      <c r="E197" s="88"/>
      <c r="F197" s="89" t="s">
        <v>658</v>
      </c>
      <c r="G197" s="109" t="s">
        <v>659</v>
      </c>
      <c r="H197" s="109"/>
      <c r="I197" s="91">
        <v>1</v>
      </c>
      <c r="J197" s="92" t="s">
        <v>88</v>
      </c>
      <c r="K197" s="93">
        <v>1</v>
      </c>
      <c r="L197" s="93" t="s">
        <v>202</v>
      </c>
      <c r="M197" s="116">
        <f>710/10*12</f>
        <v>852</v>
      </c>
      <c r="N197" s="116">
        <f>720/9*12</f>
        <v>960</v>
      </c>
      <c r="O197" s="116">
        <v>1453.3333333333333</v>
      </c>
      <c r="P197" s="94">
        <v>1470</v>
      </c>
      <c r="Q197" s="133">
        <v>70</v>
      </c>
      <c r="R197" s="112">
        <v>1700</v>
      </c>
      <c r="S197" s="97">
        <v>40.659999999999997</v>
      </c>
      <c r="T197" s="98">
        <f t="shared" si="37"/>
        <v>69122</v>
      </c>
      <c r="U197" s="99">
        <v>700</v>
      </c>
      <c r="V197" s="100">
        <f t="shared" si="38"/>
        <v>28461.999999999996</v>
      </c>
      <c r="W197" s="101">
        <f>300+400</f>
        <v>700</v>
      </c>
      <c r="X197" s="102" t="s">
        <v>363</v>
      </c>
      <c r="Y197" s="103">
        <v>35</v>
      </c>
      <c r="Z197" s="103">
        <f>Y197*W197</f>
        <v>24500</v>
      </c>
      <c r="AA197" s="99">
        <v>300</v>
      </c>
      <c r="AB197" s="100">
        <f t="shared" si="39"/>
        <v>12197.999999999998</v>
      </c>
      <c r="AC197" s="104">
        <v>300</v>
      </c>
      <c r="AD197" s="105" t="s">
        <v>363</v>
      </c>
      <c r="AE197" s="105">
        <v>35</v>
      </c>
      <c r="AF197" s="105">
        <f t="shared" si="52"/>
        <v>10500</v>
      </c>
      <c r="AG197" s="99">
        <v>400</v>
      </c>
      <c r="AH197" s="100">
        <f t="shared" si="40"/>
        <v>16263.999999999998</v>
      </c>
      <c r="AI197" s="106">
        <v>400</v>
      </c>
      <c r="AJ197" s="107" t="s">
        <v>363</v>
      </c>
      <c r="AK197" s="107">
        <v>35</v>
      </c>
      <c r="AL197" s="107">
        <f t="shared" si="51"/>
        <v>14000</v>
      </c>
      <c r="AM197" s="99">
        <v>300</v>
      </c>
      <c r="AN197" s="100">
        <f t="shared" si="41"/>
        <v>12197.999999999998</v>
      </c>
      <c r="AO197" s="108">
        <f t="shared" si="42"/>
        <v>1700</v>
      </c>
      <c r="AP197" s="308">
        <f t="shared" si="43"/>
        <v>49000</v>
      </c>
      <c r="AT197" s="151"/>
      <c r="AU197" s="151"/>
      <c r="AV197" s="151"/>
      <c r="AW197" s="151"/>
      <c r="AX197" s="151"/>
    </row>
    <row r="198" spans="1:50" ht="20.45" customHeight="1">
      <c r="A198" s="85" t="s">
        <v>667</v>
      </c>
      <c r="B198" s="86">
        <v>144</v>
      </c>
      <c r="C198" s="87">
        <v>666731</v>
      </c>
      <c r="D198" s="88">
        <v>322178</v>
      </c>
      <c r="E198" s="88"/>
      <c r="F198" s="117" t="s">
        <v>668</v>
      </c>
      <c r="G198" s="109" t="s">
        <v>669</v>
      </c>
      <c r="H198" s="109" t="s">
        <v>305</v>
      </c>
      <c r="I198" s="91">
        <v>1</v>
      </c>
      <c r="J198" s="92" t="s">
        <v>184</v>
      </c>
      <c r="K198" s="93">
        <v>100</v>
      </c>
      <c r="L198" s="93" t="s">
        <v>185</v>
      </c>
      <c r="M198" s="116">
        <f>548*12/10</f>
        <v>657.6</v>
      </c>
      <c r="N198" s="116">
        <f>577/9*12</f>
        <v>769.33333333333337</v>
      </c>
      <c r="O198" s="116">
        <v>730.66666666666663</v>
      </c>
      <c r="P198" s="94">
        <v>750</v>
      </c>
      <c r="Q198" s="95">
        <v>50</v>
      </c>
      <c r="R198" s="96">
        <f>P198-Q198</f>
        <v>700</v>
      </c>
      <c r="S198" s="110">
        <v>214</v>
      </c>
      <c r="T198" s="98">
        <f t="shared" si="37"/>
        <v>149800</v>
      </c>
      <c r="U198" s="99">
        <v>0</v>
      </c>
      <c r="V198" s="100">
        <f t="shared" si="38"/>
        <v>0</v>
      </c>
      <c r="W198" s="101"/>
      <c r="X198" s="102"/>
      <c r="Y198" s="103"/>
      <c r="Z198" s="103"/>
      <c r="AA198" s="99">
        <v>300</v>
      </c>
      <c r="AB198" s="100">
        <f t="shared" si="39"/>
        <v>64200</v>
      </c>
      <c r="AC198" s="104">
        <v>300</v>
      </c>
      <c r="AD198" s="105" t="s">
        <v>174</v>
      </c>
      <c r="AE198" s="105">
        <v>160</v>
      </c>
      <c r="AF198" s="105">
        <f t="shared" si="52"/>
        <v>48000</v>
      </c>
      <c r="AG198" s="99">
        <v>200</v>
      </c>
      <c r="AH198" s="100">
        <f t="shared" si="40"/>
        <v>42800</v>
      </c>
      <c r="AI198" s="106">
        <v>200</v>
      </c>
      <c r="AJ198" s="107" t="s">
        <v>174</v>
      </c>
      <c r="AK198" s="107">
        <v>160</v>
      </c>
      <c r="AL198" s="107">
        <f t="shared" si="51"/>
        <v>32000</v>
      </c>
      <c r="AM198" s="99">
        <v>200</v>
      </c>
      <c r="AN198" s="100">
        <f t="shared" si="41"/>
        <v>42800</v>
      </c>
      <c r="AO198" s="108">
        <f t="shared" si="42"/>
        <v>700</v>
      </c>
      <c r="AP198" s="308">
        <f t="shared" si="43"/>
        <v>80000</v>
      </c>
    </row>
    <row r="199" spans="1:50" ht="20.45" customHeight="1">
      <c r="A199" s="85" t="s">
        <v>674</v>
      </c>
      <c r="B199" s="86">
        <v>146</v>
      </c>
      <c r="C199" s="87" t="s">
        <v>675</v>
      </c>
      <c r="D199" s="88">
        <v>712486</v>
      </c>
      <c r="E199" s="88"/>
      <c r="F199" s="89" t="s">
        <v>676</v>
      </c>
      <c r="G199" s="109" t="s">
        <v>677</v>
      </c>
      <c r="H199" s="109"/>
      <c r="I199" s="91">
        <v>1</v>
      </c>
      <c r="J199" s="92" t="s">
        <v>88</v>
      </c>
      <c r="K199" s="93">
        <v>1</v>
      </c>
      <c r="L199" s="93" t="s">
        <v>73</v>
      </c>
      <c r="M199" s="116">
        <f>300/10*12</f>
        <v>360</v>
      </c>
      <c r="N199" s="116">
        <f>350/9*12</f>
        <v>466.66666666666663</v>
      </c>
      <c r="O199" s="116">
        <v>466.66666666666669</v>
      </c>
      <c r="P199" s="94">
        <v>530</v>
      </c>
      <c r="Q199" s="95">
        <v>30</v>
      </c>
      <c r="R199" s="96">
        <f>P199-Q199</f>
        <v>500</v>
      </c>
      <c r="S199" s="97">
        <v>5.35</v>
      </c>
      <c r="T199" s="98">
        <f t="shared" si="37"/>
        <v>2675</v>
      </c>
      <c r="U199" s="99">
        <v>300</v>
      </c>
      <c r="V199" s="100">
        <f t="shared" si="38"/>
        <v>1605</v>
      </c>
      <c r="W199" s="101">
        <v>300</v>
      </c>
      <c r="X199" s="102" t="s">
        <v>212</v>
      </c>
      <c r="Y199" s="103">
        <f>220/50</f>
        <v>4.4000000000000004</v>
      </c>
      <c r="Z199" s="103">
        <f t="shared" ref="Z199:Z204" si="53">Y199*W199</f>
        <v>1320</v>
      </c>
      <c r="AA199" s="99">
        <v>0</v>
      </c>
      <c r="AB199" s="100">
        <f t="shared" si="39"/>
        <v>0</v>
      </c>
      <c r="AC199" s="104"/>
      <c r="AD199" s="105"/>
      <c r="AE199" s="105"/>
      <c r="AF199" s="105">
        <f t="shared" si="52"/>
        <v>0</v>
      </c>
      <c r="AG199" s="99">
        <v>0</v>
      </c>
      <c r="AH199" s="100">
        <f t="shared" si="40"/>
        <v>0</v>
      </c>
      <c r="AI199" s="106"/>
      <c r="AJ199" s="107"/>
      <c r="AK199" s="107"/>
      <c r="AL199" s="107">
        <f t="shared" si="51"/>
        <v>0</v>
      </c>
      <c r="AM199" s="99">
        <v>200</v>
      </c>
      <c r="AN199" s="100">
        <f t="shared" si="41"/>
        <v>1070</v>
      </c>
      <c r="AO199" s="108">
        <f t="shared" si="42"/>
        <v>500</v>
      </c>
      <c r="AP199" s="308">
        <f t="shared" si="43"/>
        <v>1320</v>
      </c>
    </row>
    <row r="200" spans="1:50" ht="20.45" customHeight="1">
      <c r="A200" s="85" t="s">
        <v>682</v>
      </c>
      <c r="B200" s="86">
        <v>148</v>
      </c>
      <c r="C200" s="87" t="s">
        <v>683</v>
      </c>
      <c r="D200" s="88">
        <v>963131</v>
      </c>
      <c r="E200" s="88"/>
      <c r="F200" s="89" t="s">
        <v>684</v>
      </c>
      <c r="G200" s="109" t="s">
        <v>685</v>
      </c>
      <c r="H200" s="109"/>
      <c r="I200" s="91">
        <v>1</v>
      </c>
      <c r="J200" s="92" t="s">
        <v>88</v>
      </c>
      <c r="K200" s="93">
        <v>1</v>
      </c>
      <c r="L200" s="93" t="s">
        <v>202</v>
      </c>
      <c r="M200" s="116">
        <f>882/10*12</f>
        <v>1058.4000000000001</v>
      </c>
      <c r="N200" s="116">
        <f>912/9*12</f>
        <v>1216</v>
      </c>
      <c r="O200" s="116">
        <v>1525.3333333333333</v>
      </c>
      <c r="P200" s="94">
        <v>1600</v>
      </c>
      <c r="Q200" s="133">
        <v>0</v>
      </c>
      <c r="R200" s="96">
        <f>P200-Q200</f>
        <v>1600</v>
      </c>
      <c r="S200" s="97">
        <v>16.53</v>
      </c>
      <c r="T200" s="98">
        <f t="shared" ref="T200:T263" si="54">S200*R200</f>
        <v>26448</v>
      </c>
      <c r="U200" s="99">
        <v>400</v>
      </c>
      <c r="V200" s="100">
        <f t="shared" ref="V200:V263" si="55">U200*S200</f>
        <v>6612</v>
      </c>
      <c r="W200" s="101">
        <v>400</v>
      </c>
      <c r="X200" s="102" t="s">
        <v>61</v>
      </c>
      <c r="Y200" s="103">
        <v>14</v>
      </c>
      <c r="Z200" s="103">
        <f t="shared" si="53"/>
        <v>5600</v>
      </c>
      <c r="AA200" s="99">
        <v>400</v>
      </c>
      <c r="AB200" s="100">
        <f t="shared" ref="AB200:AB263" si="56">AA200*S200</f>
        <v>6612</v>
      </c>
      <c r="AC200" s="104">
        <v>400</v>
      </c>
      <c r="AD200" s="105" t="s">
        <v>61</v>
      </c>
      <c r="AE200" s="105">
        <v>14</v>
      </c>
      <c r="AF200" s="105">
        <f t="shared" si="52"/>
        <v>5600</v>
      </c>
      <c r="AG200" s="99">
        <v>400</v>
      </c>
      <c r="AH200" s="100">
        <f t="shared" ref="AH200:AH263" si="57">S200*AG200</f>
        <v>6612</v>
      </c>
      <c r="AI200" s="106">
        <v>400</v>
      </c>
      <c r="AJ200" s="107" t="s">
        <v>61</v>
      </c>
      <c r="AK200" s="107">
        <v>14</v>
      </c>
      <c r="AL200" s="107">
        <f t="shared" si="51"/>
        <v>5600</v>
      </c>
      <c r="AM200" s="99">
        <v>400</v>
      </c>
      <c r="AN200" s="100">
        <f t="shared" ref="AN200:AN263" si="58">S200*AM200</f>
        <v>6612</v>
      </c>
      <c r="AO200" s="108">
        <f t="shared" ref="AO200:AO263" si="59">U200+AA200+AG200+AM200</f>
        <v>1600</v>
      </c>
      <c r="AP200" s="308">
        <f t="shared" si="43"/>
        <v>16800</v>
      </c>
    </row>
    <row r="201" spans="1:50" ht="20.45" customHeight="1">
      <c r="A201" s="85" t="s">
        <v>686</v>
      </c>
      <c r="B201" s="86">
        <v>149</v>
      </c>
      <c r="C201" s="87" t="s">
        <v>687</v>
      </c>
      <c r="D201" s="88">
        <v>247993</v>
      </c>
      <c r="E201" s="88"/>
      <c r="F201" s="89" t="s">
        <v>688</v>
      </c>
      <c r="G201" s="109" t="s">
        <v>689</v>
      </c>
      <c r="H201" s="109"/>
      <c r="I201" s="91">
        <v>1</v>
      </c>
      <c r="J201" s="92" t="s">
        <v>83</v>
      </c>
      <c r="K201" s="93">
        <v>1000</v>
      </c>
      <c r="L201" s="93" t="s">
        <v>84</v>
      </c>
      <c r="M201" s="116">
        <f>3.5/10*12</f>
        <v>4.1999999999999993</v>
      </c>
      <c r="N201" s="116">
        <f>5.5/9*12</f>
        <v>7.3333333333333339</v>
      </c>
      <c r="O201" s="116">
        <v>8</v>
      </c>
      <c r="P201" s="94">
        <v>8</v>
      </c>
      <c r="Q201" s="95">
        <v>2</v>
      </c>
      <c r="R201" s="96">
        <f>P201-Q201</f>
        <v>6</v>
      </c>
      <c r="S201" s="110">
        <v>2000</v>
      </c>
      <c r="T201" s="98">
        <f t="shared" si="54"/>
        <v>12000</v>
      </c>
      <c r="U201" s="99">
        <v>0</v>
      </c>
      <c r="V201" s="100">
        <f t="shared" si="55"/>
        <v>0</v>
      </c>
      <c r="W201" s="101"/>
      <c r="X201" s="102"/>
      <c r="Y201" s="103"/>
      <c r="Z201" s="103">
        <f t="shared" si="53"/>
        <v>0</v>
      </c>
      <c r="AA201" s="99">
        <v>3</v>
      </c>
      <c r="AB201" s="100">
        <f t="shared" si="56"/>
        <v>6000</v>
      </c>
      <c r="AC201" s="104">
        <v>3</v>
      </c>
      <c r="AD201" s="105" t="s">
        <v>100</v>
      </c>
      <c r="AE201" s="105">
        <f>500*4</f>
        <v>2000</v>
      </c>
      <c r="AF201" s="105">
        <f t="shared" si="52"/>
        <v>6000</v>
      </c>
      <c r="AG201" s="99">
        <v>0</v>
      </c>
      <c r="AH201" s="100">
        <f t="shared" si="57"/>
        <v>0</v>
      </c>
      <c r="AI201" s="106"/>
      <c r="AJ201" s="107"/>
      <c r="AK201" s="107"/>
      <c r="AL201" s="107"/>
      <c r="AM201" s="99">
        <v>3</v>
      </c>
      <c r="AN201" s="100">
        <f t="shared" si="58"/>
        <v>6000</v>
      </c>
      <c r="AO201" s="108">
        <f t="shared" si="59"/>
        <v>6</v>
      </c>
      <c r="AP201" s="308">
        <f t="shared" ref="AP201:AP264" si="60">Z201+AF201+AL201</f>
        <v>6000</v>
      </c>
    </row>
    <row r="202" spans="1:50" s="140" customFormat="1" ht="20.45" customHeight="1">
      <c r="A202" s="85" t="s">
        <v>690</v>
      </c>
      <c r="B202" s="86">
        <v>150</v>
      </c>
      <c r="C202" s="87" t="s">
        <v>691</v>
      </c>
      <c r="D202" s="88">
        <v>616150</v>
      </c>
      <c r="E202" s="88"/>
      <c r="F202" s="89" t="s">
        <v>692</v>
      </c>
      <c r="G202" s="109" t="s">
        <v>693</v>
      </c>
      <c r="H202" s="109" t="s">
        <v>110</v>
      </c>
      <c r="I202" s="91">
        <v>1</v>
      </c>
      <c r="J202" s="92" t="s">
        <v>195</v>
      </c>
      <c r="K202" s="93">
        <v>1</v>
      </c>
      <c r="L202" s="93" t="s">
        <v>196</v>
      </c>
      <c r="M202" s="116">
        <f>(5511*10/12)+1000</f>
        <v>5592.5</v>
      </c>
      <c r="N202" s="116">
        <f>6707/9*12</f>
        <v>8942.6666666666661</v>
      </c>
      <c r="O202" s="116">
        <v>7582.666666666667</v>
      </c>
      <c r="P202" s="94">
        <v>7600</v>
      </c>
      <c r="Q202" s="95">
        <v>1600</v>
      </c>
      <c r="R202" s="132">
        <v>8500</v>
      </c>
      <c r="S202" s="97">
        <v>14</v>
      </c>
      <c r="T202" s="98">
        <f t="shared" si="54"/>
        <v>119000</v>
      </c>
      <c r="U202" s="99">
        <v>4000</v>
      </c>
      <c r="V202" s="100">
        <f t="shared" si="55"/>
        <v>56000</v>
      </c>
      <c r="W202" s="101">
        <f>1000+1500+1500</f>
        <v>4000</v>
      </c>
      <c r="X202" s="102" t="s">
        <v>541</v>
      </c>
      <c r="Y202" s="103">
        <v>12</v>
      </c>
      <c r="Z202" s="103">
        <f t="shared" si="53"/>
        <v>48000</v>
      </c>
      <c r="AA202" s="99">
        <v>1500</v>
      </c>
      <c r="AB202" s="100">
        <f t="shared" si="56"/>
        <v>21000</v>
      </c>
      <c r="AC202" s="104">
        <v>1500</v>
      </c>
      <c r="AD202" s="105" t="s">
        <v>541</v>
      </c>
      <c r="AE202" s="105">
        <v>12</v>
      </c>
      <c r="AF202" s="105">
        <f t="shared" si="52"/>
        <v>18000</v>
      </c>
      <c r="AG202" s="99">
        <v>1500</v>
      </c>
      <c r="AH202" s="100">
        <f t="shared" si="57"/>
        <v>21000</v>
      </c>
      <c r="AI202" s="106"/>
      <c r="AJ202" s="107"/>
      <c r="AK202" s="107"/>
      <c r="AL202" s="107"/>
      <c r="AM202" s="99">
        <v>1500</v>
      </c>
      <c r="AN202" s="100">
        <f t="shared" si="58"/>
        <v>21000</v>
      </c>
      <c r="AO202" s="108">
        <f t="shared" si="59"/>
        <v>8500</v>
      </c>
      <c r="AP202" s="308">
        <f t="shared" si="60"/>
        <v>66000</v>
      </c>
      <c r="AQ202" s="3"/>
      <c r="AR202" s="3"/>
      <c r="AS202" s="3"/>
    </row>
    <row r="203" spans="1:50" s="140" customFormat="1" ht="20.45" customHeight="1">
      <c r="A203" s="85" t="s">
        <v>694</v>
      </c>
      <c r="B203" s="86">
        <v>151</v>
      </c>
      <c r="C203" s="87" t="s">
        <v>695</v>
      </c>
      <c r="D203" s="88">
        <v>715713</v>
      </c>
      <c r="E203" s="88"/>
      <c r="F203" s="89" t="s">
        <v>696</v>
      </c>
      <c r="G203" s="109" t="s">
        <v>697</v>
      </c>
      <c r="H203" s="109"/>
      <c r="I203" s="91">
        <v>1</v>
      </c>
      <c r="J203" s="92" t="s">
        <v>83</v>
      </c>
      <c r="K203" s="93">
        <v>1000</v>
      </c>
      <c r="L203" s="93" t="s">
        <v>84</v>
      </c>
      <c r="M203" s="116">
        <f>221/10*12</f>
        <v>265.20000000000005</v>
      </c>
      <c r="N203" s="116">
        <f>153/9*12</f>
        <v>204</v>
      </c>
      <c r="O203" s="116">
        <v>212.66666666666666</v>
      </c>
      <c r="P203" s="94">
        <v>217</v>
      </c>
      <c r="Q203" s="95">
        <v>7</v>
      </c>
      <c r="R203" s="96">
        <f>P203-Q203</f>
        <v>210</v>
      </c>
      <c r="S203" s="125">
        <v>300</v>
      </c>
      <c r="T203" s="98">
        <f t="shared" si="54"/>
        <v>63000</v>
      </c>
      <c r="U203" s="99">
        <v>60</v>
      </c>
      <c r="V203" s="100">
        <f t="shared" si="55"/>
        <v>18000</v>
      </c>
      <c r="W203" s="101">
        <v>60</v>
      </c>
      <c r="X203" s="102" t="s">
        <v>249</v>
      </c>
      <c r="Y203" s="103">
        <v>300</v>
      </c>
      <c r="Z203" s="103">
        <f t="shared" si="53"/>
        <v>18000</v>
      </c>
      <c r="AA203" s="99">
        <v>50</v>
      </c>
      <c r="AB203" s="100">
        <f t="shared" si="56"/>
        <v>15000</v>
      </c>
      <c r="AC203" s="104">
        <v>50</v>
      </c>
      <c r="AD203" s="105" t="s">
        <v>249</v>
      </c>
      <c r="AE203" s="105">
        <v>300</v>
      </c>
      <c r="AF203" s="105">
        <f t="shared" si="52"/>
        <v>15000</v>
      </c>
      <c r="AG203" s="99">
        <v>50</v>
      </c>
      <c r="AH203" s="100">
        <f t="shared" si="57"/>
        <v>15000</v>
      </c>
      <c r="AI203" s="106"/>
      <c r="AJ203" s="107"/>
      <c r="AK203" s="107"/>
      <c r="AL203" s="107"/>
      <c r="AM203" s="99">
        <v>50</v>
      </c>
      <c r="AN203" s="100">
        <f t="shared" si="58"/>
        <v>15000</v>
      </c>
      <c r="AO203" s="108">
        <f t="shared" si="59"/>
        <v>210</v>
      </c>
      <c r="AP203" s="308">
        <f t="shared" si="60"/>
        <v>33000</v>
      </c>
      <c r="AQ203" s="3"/>
      <c r="AR203" s="3"/>
      <c r="AS203" s="3"/>
    </row>
    <row r="204" spans="1:50" s="140" customFormat="1" ht="20.45" customHeight="1">
      <c r="A204" s="85" t="s">
        <v>698</v>
      </c>
      <c r="B204" s="86">
        <v>152</v>
      </c>
      <c r="C204" s="87" t="s">
        <v>699</v>
      </c>
      <c r="D204" s="88">
        <v>763948</v>
      </c>
      <c r="E204" s="88"/>
      <c r="F204" s="89" t="s">
        <v>700</v>
      </c>
      <c r="G204" s="109" t="s">
        <v>701</v>
      </c>
      <c r="H204" s="109"/>
      <c r="I204" s="91">
        <v>1</v>
      </c>
      <c r="J204" s="92" t="s">
        <v>88</v>
      </c>
      <c r="K204" s="93">
        <v>1</v>
      </c>
      <c r="L204" s="93" t="s">
        <v>73</v>
      </c>
      <c r="M204" s="116">
        <f>210/10*12</f>
        <v>252</v>
      </c>
      <c r="N204" s="116">
        <f>190/9*12</f>
        <v>253.33333333333331</v>
      </c>
      <c r="O204" s="116">
        <v>261.33333333333331</v>
      </c>
      <c r="P204" s="94">
        <v>335</v>
      </c>
      <c r="Q204" s="95">
        <v>35</v>
      </c>
      <c r="R204" s="96">
        <f>P204-Q204</f>
        <v>300</v>
      </c>
      <c r="S204" s="97">
        <v>63.13</v>
      </c>
      <c r="T204" s="98">
        <f t="shared" si="54"/>
        <v>18939</v>
      </c>
      <c r="U204" s="99">
        <v>100</v>
      </c>
      <c r="V204" s="100">
        <f t="shared" si="55"/>
        <v>6313</v>
      </c>
      <c r="W204" s="101">
        <v>100</v>
      </c>
      <c r="X204" s="102" t="s">
        <v>342</v>
      </c>
      <c r="Y204" s="103">
        <v>63</v>
      </c>
      <c r="Z204" s="103">
        <f t="shared" si="53"/>
        <v>6300</v>
      </c>
      <c r="AA204" s="99">
        <v>100</v>
      </c>
      <c r="AB204" s="100">
        <f t="shared" si="56"/>
        <v>6313</v>
      </c>
      <c r="AC204" s="104">
        <v>200</v>
      </c>
      <c r="AD204" s="105" t="s">
        <v>342</v>
      </c>
      <c r="AE204" s="105">
        <v>63</v>
      </c>
      <c r="AF204" s="105">
        <f t="shared" si="52"/>
        <v>12600</v>
      </c>
      <c r="AG204" s="99">
        <v>100</v>
      </c>
      <c r="AH204" s="100">
        <f t="shared" si="57"/>
        <v>6313</v>
      </c>
      <c r="AI204" s="106"/>
      <c r="AJ204" s="107"/>
      <c r="AK204" s="107"/>
      <c r="AL204" s="107"/>
      <c r="AM204" s="99">
        <v>0</v>
      </c>
      <c r="AN204" s="100">
        <f t="shared" si="58"/>
        <v>0</v>
      </c>
      <c r="AO204" s="108">
        <f t="shared" si="59"/>
        <v>300</v>
      </c>
      <c r="AP204" s="308">
        <f t="shared" si="60"/>
        <v>18900</v>
      </c>
      <c r="AQ204" s="3"/>
      <c r="AR204" s="3"/>
      <c r="AS204" s="3"/>
    </row>
    <row r="205" spans="1:50" s="140" customFormat="1" ht="20.45" customHeight="1">
      <c r="A205" s="85" t="s">
        <v>702</v>
      </c>
      <c r="B205" s="86">
        <v>153</v>
      </c>
      <c r="C205" s="87" t="s">
        <v>703</v>
      </c>
      <c r="D205" s="88">
        <v>785554</v>
      </c>
      <c r="E205" s="88"/>
      <c r="F205" s="89" t="s">
        <v>704</v>
      </c>
      <c r="G205" s="109" t="s">
        <v>705</v>
      </c>
      <c r="H205" s="109"/>
      <c r="I205" s="91">
        <v>1</v>
      </c>
      <c r="J205" s="92" t="s">
        <v>88</v>
      </c>
      <c r="K205" s="93">
        <v>1</v>
      </c>
      <c r="L205" s="93" t="s">
        <v>73</v>
      </c>
      <c r="M205" s="116">
        <f>120/10*12</f>
        <v>144</v>
      </c>
      <c r="N205" s="116">
        <v>0</v>
      </c>
      <c r="O205" s="116">
        <v>40</v>
      </c>
      <c r="P205" s="94">
        <v>60</v>
      </c>
      <c r="Q205" s="95">
        <v>60</v>
      </c>
      <c r="R205" s="132">
        <v>100</v>
      </c>
      <c r="S205" s="97">
        <v>9.73</v>
      </c>
      <c r="T205" s="98">
        <f t="shared" si="54"/>
        <v>973</v>
      </c>
      <c r="U205" s="99">
        <v>0</v>
      </c>
      <c r="V205" s="100">
        <f t="shared" si="55"/>
        <v>0</v>
      </c>
      <c r="W205" s="101"/>
      <c r="X205" s="102"/>
      <c r="Y205" s="103"/>
      <c r="Z205" s="103"/>
      <c r="AA205" s="99">
        <v>100</v>
      </c>
      <c r="AB205" s="100">
        <f t="shared" si="56"/>
        <v>973</v>
      </c>
      <c r="AC205" s="104">
        <v>100</v>
      </c>
      <c r="AD205" s="105" t="s">
        <v>342</v>
      </c>
      <c r="AE205" s="105">
        <f>486/50</f>
        <v>9.7200000000000006</v>
      </c>
      <c r="AF205" s="105">
        <f t="shared" si="52"/>
        <v>972.00000000000011</v>
      </c>
      <c r="AG205" s="99">
        <v>0</v>
      </c>
      <c r="AH205" s="100">
        <f t="shared" si="57"/>
        <v>0</v>
      </c>
      <c r="AI205" s="106"/>
      <c r="AJ205" s="107"/>
      <c r="AK205" s="107"/>
      <c r="AL205" s="107"/>
      <c r="AM205" s="99">
        <v>0</v>
      </c>
      <c r="AN205" s="100">
        <f t="shared" si="58"/>
        <v>0</v>
      </c>
      <c r="AO205" s="108">
        <f t="shared" si="59"/>
        <v>100</v>
      </c>
      <c r="AP205" s="308">
        <f t="shared" si="60"/>
        <v>972.00000000000011</v>
      </c>
      <c r="AQ205" s="3"/>
      <c r="AR205" s="3"/>
      <c r="AS205" s="3"/>
    </row>
    <row r="206" spans="1:50" s="140" customFormat="1" ht="20.45" customHeight="1">
      <c r="A206" s="85" t="s">
        <v>706</v>
      </c>
      <c r="B206" s="86">
        <v>154</v>
      </c>
      <c r="C206" s="87" t="s">
        <v>707</v>
      </c>
      <c r="D206" s="88">
        <v>341888</v>
      </c>
      <c r="E206" s="88"/>
      <c r="F206" s="89" t="s">
        <v>708</v>
      </c>
      <c r="G206" s="109" t="s">
        <v>709</v>
      </c>
      <c r="H206" s="109"/>
      <c r="I206" s="91">
        <v>1</v>
      </c>
      <c r="J206" s="92" t="s">
        <v>83</v>
      </c>
      <c r="K206" s="93">
        <v>1000</v>
      </c>
      <c r="L206" s="93" t="s">
        <v>84</v>
      </c>
      <c r="M206" s="116">
        <f>26/10*12</f>
        <v>31.200000000000003</v>
      </c>
      <c r="N206" s="116">
        <f>23/9*12</f>
        <v>30.666666666666664</v>
      </c>
      <c r="O206" s="116">
        <v>25.333333333333332</v>
      </c>
      <c r="P206" s="94">
        <v>25</v>
      </c>
      <c r="Q206" s="95">
        <v>5</v>
      </c>
      <c r="R206" s="132">
        <v>30</v>
      </c>
      <c r="S206" s="97">
        <v>190</v>
      </c>
      <c r="T206" s="98">
        <f t="shared" si="54"/>
        <v>5700</v>
      </c>
      <c r="U206" s="99">
        <v>10</v>
      </c>
      <c r="V206" s="100">
        <f t="shared" si="55"/>
        <v>1900</v>
      </c>
      <c r="W206" s="101">
        <v>10</v>
      </c>
      <c r="X206" s="102" t="s">
        <v>710</v>
      </c>
      <c r="Y206" s="103">
        <v>190</v>
      </c>
      <c r="Z206" s="103">
        <f>Y206*W206</f>
        <v>1900</v>
      </c>
      <c r="AA206" s="99">
        <v>10</v>
      </c>
      <c r="AB206" s="100">
        <f t="shared" si="56"/>
        <v>1900</v>
      </c>
      <c r="AC206" s="104">
        <v>10</v>
      </c>
      <c r="AD206" s="105" t="s">
        <v>710</v>
      </c>
      <c r="AE206" s="105">
        <v>190</v>
      </c>
      <c r="AF206" s="105">
        <f t="shared" si="52"/>
        <v>1900</v>
      </c>
      <c r="AG206" s="99">
        <v>10</v>
      </c>
      <c r="AH206" s="100">
        <f t="shared" si="57"/>
        <v>1900</v>
      </c>
      <c r="AI206" s="106"/>
      <c r="AJ206" s="107"/>
      <c r="AK206" s="107"/>
      <c r="AL206" s="107"/>
      <c r="AM206" s="99">
        <v>0</v>
      </c>
      <c r="AN206" s="100">
        <f t="shared" si="58"/>
        <v>0</v>
      </c>
      <c r="AO206" s="108">
        <f t="shared" si="59"/>
        <v>30</v>
      </c>
      <c r="AP206" s="308">
        <f t="shared" si="60"/>
        <v>3800</v>
      </c>
      <c r="AQ206" s="3"/>
      <c r="AR206" s="3"/>
      <c r="AS206" s="3"/>
    </row>
    <row r="207" spans="1:50" s="140" customFormat="1" ht="20.45" customHeight="1">
      <c r="A207" s="85" t="s">
        <v>711</v>
      </c>
      <c r="B207" s="86">
        <v>155</v>
      </c>
      <c r="C207" s="87" t="s">
        <v>712</v>
      </c>
      <c r="D207" s="88">
        <v>331166</v>
      </c>
      <c r="E207" s="88"/>
      <c r="F207" s="89" t="s">
        <v>713</v>
      </c>
      <c r="G207" s="109" t="s">
        <v>714</v>
      </c>
      <c r="H207" s="109"/>
      <c r="I207" s="91">
        <v>1</v>
      </c>
      <c r="J207" s="92" t="s">
        <v>83</v>
      </c>
      <c r="K207" s="93">
        <v>1000</v>
      </c>
      <c r="L207" s="93" t="s">
        <v>84</v>
      </c>
      <c r="M207" s="116">
        <f>38*12/10</f>
        <v>45.6</v>
      </c>
      <c r="N207" s="116">
        <f>24.5/9*12</f>
        <v>32.666666666666671</v>
      </c>
      <c r="O207" s="116">
        <v>36.666666666666664</v>
      </c>
      <c r="P207" s="94">
        <v>37</v>
      </c>
      <c r="Q207" s="95">
        <v>7</v>
      </c>
      <c r="R207" s="96">
        <f>P207-Q207</f>
        <v>30</v>
      </c>
      <c r="S207" s="97">
        <v>540</v>
      </c>
      <c r="T207" s="98">
        <f t="shared" si="54"/>
        <v>16200</v>
      </c>
      <c r="U207" s="99">
        <v>10</v>
      </c>
      <c r="V207" s="100">
        <f t="shared" si="55"/>
        <v>5400</v>
      </c>
      <c r="W207" s="101">
        <v>10</v>
      </c>
      <c r="X207" s="102" t="s">
        <v>254</v>
      </c>
      <c r="Y207" s="103">
        <v>400</v>
      </c>
      <c r="Z207" s="103">
        <f>Y207*W207</f>
        <v>4000</v>
      </c>
      <c r="AA207" s="99">
        <v>10</v>
      </c>
      <c r="AB207" s="100">
        <f t="shared" si="56"/>
        <v>5400</v>
      </c>
      <c r="AC207" s="104">
        <v>10</v>
      </c>
      <c r="AD207" s="105" t="s">
        <v>715</v>
      </c>
      <c r="AE207" s="105">
        <v>400</v>
      </c>
      <c r="AF207" s="105">
        <f t="shared" si="52"/>
        <v>4000</v>
      </c>
      <c r="AG207" s="99">
        <v>10</v>
      </c>
      <c r="AH207" s="100">
        <f t="shared" si="57"/>
        <v>5400</v>
      </c>
      <c r="AI207" s="106"/>
      <c r="AJ207" s="107"/>
      <c r="AK207" s="107"/>
      <c r="AL207" s="107"/>
      <c r="AM207" s="99">
        <v>0</v>
      </c>
      <c r="AN207" s="100">
        <f t="shared" si="58"/>
        <v>0</v>
      </c>
      <c r="AO207" s="108">
        <f t="shared" si="59"/>
        <v>30</v>
      </c>
      <c r="AP207" s="308">
        <f t="shared" si="60"/>
        <v>8000</v>
      </c>
      <c r="AQ207" s="3"/>
      <c r="AR207" s="3"/>
      <c r="AS207" s="3"/>
    </row>
    <row r="208" spans="1:50" s="140" customFormat="1" ht="20.45" customHeight="1">
      <c r="A208" s="85" t="s">
        <v>716</v>
      </c>
      <c r="B208" s="86">
        <v>156</v>
      </c>
      <c r="C208" s="87" t="s">
        <v>717</v>
      </c>
      <c r="D208" s="157">
        <v>342535</v>
      </c>
      <c r="E208" s="157"/>
      <c r="F208" s="89" t="s">
        <v>718</v>
      </c>
      <c r="G208" s="109" t="s">
        <v>719</v>
      </c>
      <c r="H208" s="109"/>
      <c r="I208" s="91">
        <v>1</v>
      </c>
      <c r="J208" s="92" t="s">
        <v>83</v>
      </c>
      <c r="K208" s="93">
        <v>1000</v>
      </c>
      <c r="L208" s="93" t="s">
        <v>84</v>
      </c>
      <c r="M208" s="116">
        <f>19/10*12</f>
        <v>22.799999999999997</v>
      </c>
      <c r="N208" s="116">
        <f>16/9*12</f>
        <v>21.333333333333332</v>
      </c>
      <c r="O208" s="116">
        <v>20</v>
      </c>
      <c r="P208" s="94">
        <v>20</v>
      </c>
      <c r="Q208" s="95">
        <v>0</v>
      </c>
      <c r="R208" s="96">
        <f>P208-Q208</f>
        <v>20</v>
      </c>
      <c r="S208" s="97">
        <v>860</v>
      </c>
      <c r="T208" s="98">
        <f t="shared" si="54"/>
        <v>17200</v>
      </c>
      <c r="U208" s="99">
        <v>5</v>
      </c>
      <c r="V208" s="100">
        <f t="shared" si="55"/>
        <v>4300</v>
      </c>
      <c r="W208" s="101">
        <v>5</v>
      </c>
      <c r="X208" s="102" t="s">
        <v>710</v>
      </c>
      <c r="Y208" s="103">
        <v>700</v>
      </c>
      <c r="Z208" s="103">
        <f>Y208*W208</f>
        <v>3500</v>
      </c>
      <c r="AA208" s="99">
        <v>5</v>
      </c>
      <c r="AB208" s="100">
        <f t="shared" si="56"/>
        <v>4300</v>
      </c>
      <c r="AC208" s="104">
        <v>5</v>
      </c>
      <c r="AD208" s="105" t="s">
        <v>710</v>
      </c>
      <c r="AE208" s="105">
        <v>700</v>
      </c>
      <c r="AF208" s="105">
        <f t="shared" si="52"/>
        <v>3500</v>
      </c>
      <c r="AG208" s="99">
        <v>5</v>
      </c>
      <c r="AH208" s="100">
        <f t="shared" si="57"/>
        <v>4300</v>
      </c>
      <c r="AI208" s="106">
        <v>5</v>
      </c>
      <c r="AJ208" s="107" t="s">
        <v>710</v>
      </c>
      <c r="AK208" s="107">
        <v>700</v>
      </c>
      <c r="AL208" s="107">
        <f>AK208*AI208</f>
        <v>3500</v>
      </c>
      <c r="AM208" s="99">
        <v>5</v>
      </c>
      <c r="AN208" s="100">
        <f t="shared" si="58"/>
        <v>4300</v>
      </c>
      <c r="AO208" s="108">
        <f t="shared" si="59"/>
        <v>20</v>
      </c>
      <c r="AP208" s="308">
        <f t="shared" si="60"/>
        <v>10500</v>
      </c>
      <c r="AQ208" s="3"/>
      <c r="AR208" s="3"/>
      <c r="AS208" s="3"/>
      <c r="AT208" s="307"/>
      <c r="AU208" s="307"/>
      <c r="AV208" s="307"/>
      <c r="AW208" s="307"/>
      <c r="AX208" s="307"/>
    </row>
    <row r="209" spans="1:50" s="140" customFormat="1" ht="20.45" customHeight="1">
      <c r="A209" s="85" t="s">
        <v>729</v>
      </c>
      <c r="B209" s="86">
        <v>159</v>
      </c>
      <c r="C209" s="87" t="s">
        <v>730</v>
      </c>
      <c r="D209" s="88">
        <v>988968</v>
      </c>
      <c r="E209" s="88"/>
      <c r="F209" s="89" t="s">
        <v>731</v>
      </c>
      <c r="G209" s="109" t="s">
        <v>732</v>
      </c>
      <c r="H209" s="109"/>
      <c r="I209" s="91">
        <v>1</v>
      </c>
      <c r="J209" s="92" t="s">
        <v>88</v>
      </c>
      <c r="K209" s="93">
        <v>1</v>
      </c>
      <c r="L209" s="93" t="s">
        <v>73</v>
      </c>
      <c r="M209" s="116">
        <v>0</v>
      </c>
      <c r="N209" s="116">
        <v>1</v>
      </c>
      <c r="O209" s="116">
        <v>0</v>
      </c>
      <c r="P209" s="94">
        <v>5</v>
      </c>
      <c r="Q209" s="95">
        <v>0</v>
      </c>
      <c r="R209" s="96">
        <f>P209-Q209</f>
        <v>5</v>
      </c>
      <c r="S209" s="97">
        <v>130</v>
      </c>
      <c r="T209" s="98">
        <f t="shared" si="54"/>
        <v>650</v>
      </c>
      <c r="U209" s="99">
        <v>0</v>
      </c>
      <c r="V209" s="100">
        <f t="shared" si="55"/>
        <v>0</v>
      </c>
      <c r="W209" s="101"/>
      <c r="X209" s="102"/>
      <c r="Y209" s="103"/>
      <c r="Z209" s="103"/>
      <c r="AA209" s="99">
        <v>0</v>
      </c>
      <c r="AB209" s="100">
        <f t="shared" si="56"/>
        <v>0</v>
      </c>
      <c r="AC209" s="104"/>
      <c r="AD209" s="105"/>
      <c r="AE209" s="105"/>
      <c r="AF209" s="105"/>
      <c r="AG209" s="99">
        <v>5</v>
      </c>
      <c r="AH209" s="100">
        <f t="shared" si="57"/>
        <v>650</v>
      </c>
      <c r="AI209" s="106"/>
      <c r="AJ209" s="107"/>
      <c r="AK209" s="107"/>
      <c r="AL209" s="107"/>
      <c r="AM209" s="99">
        <v>0</v>
      </c>
      <c r="AN209" s="100">
        <f t="shared" si="58"/>
        <v>0</v>
      </c>
      <c r="AO209" s="108">
        <f t="shared" si="59"/>
        <v>5</v>
      </c>
      <c r="AP209" s="308">
        <f t="shared" si="60"/>
        <v>0</v>
      </c>
      <c r="AQ209" s="3"/>
      <c r="AR209" s="3"/>
      <c r="AS209" s="3"/>
    </row>
    <row r="210" spans="1:50" s="140" customFormat="1" ht="20.45" customHeight="1">
      <c r="A210" s="85" t="s">
        <v>733</v>
      </c>
      <c r="B210" s="86">
        <v>160</v>
      </c>
      <c r="C210" s="87" t="s">
        <v>734</v>
      </c>
      <c r="D210" s="88">
        <v>672442</v>
      </c>
      <c r="E210" s="88"/>
      <c r="F210" s="89" t="s">
        <v>735</v>
      </c>
      <c r="G210" s="109" t="s">
        <v>736</v>
      </c>
      <c r="H210" s="109"/>
      <c r="I210" s="91">
        <v>1</v>
      </c>
      <c r="J210" s="92" t="s">
        <v>88</v>
      </c>
      <c r="K210" s="93">
        <v>1</v>
      </c>
      <c r="L210" s="93" t="s">
        <v>202</v>
      </c>
      <c r="M210" s="116">
        <f>120/10*12</f>
        <v>144</v>
      </c>
      <c r="N210" s="116">
        <f>120/9*12</f>
        <v>160</v>
      </c>
      <c r="O210" s="116">
        <v>40</v>
      </c>
      <c r="P210" s="94">
        <v>50</v>
      </c>
      <c r="Q210" s="95">
        <v>50</v>
      </c>
      <c r="R210" s="96">
        <v>50</v>
      </c>
      <c r="S210" s="110">
        <v>150</v>
      </c>
      <c r="T210" s="98">
        <f t="shared" si="54"/>
        <v>7500</v>
      </c>
      <c r="U210" s="99">
        <v>0</v>
      </c>
      <c r="V210" s="100">
        <f t="shared" si="55"/>
        <v>0</v>
      </c>
      <c r="W210" s="101"/>
      <c r="X210" s="102"/>
      <c r="Y210" s="103"/>
      <c r="Z210" s="103"/>
      <c r="AA210" s="99">
        <v>50</v>
      </c>
      <c r="AB210" s="100">
        <f t="shared" si="56"/>
        <v>7500</v>
      </c>
      <c r="AC210" s="104">
        <v>50</v>
      </c>
      <c r="AD210" s="105" t="s">
        <v>535</v>
      </c>
      <c r="AE210" s="105">
        <v>150</v>
      </c>
      <c r="AF210" s="105">
        <f>AE210*AC210</f>
        <v>7500</v>
      </c>
      <c r="AG210" s="99">
        <v>0</v>
      </c>
      <c r="AH210" s="100">
        <f t="shared" si="57"/>
        <v>0</v>
      </c>
      <c r="AI210" s="106"/>
      <c r="AJ210" s="107"/>
      <c r="AK210" s="107"/>
      <c r="AL210" s="107"/>
      <c r="AM210" s="99">
        <v>0</v>
      </c>
      <c r="AN210" s="100">
        <f t="shared" si="58"/>
        <v>0</v>
      </c>
      <c r="AO210" s="108">
        <f t="shared" si="59"/>
        <v>50</v>
      </c>
      <c r="AP210" s="308">
        <f t="shared" si="60"/>
        <v>7500</v>
      </c>
      <c r="AQ210" s="3"/>
      <c r="AR210" s="3"/>
      <c r="AS210" s="3"/>
    </row>
    <row r="211" spans="1:50" s="140" customFormat="1" ht="20.45" customHeight="1">
      <c r="A211" s="85" t="s">
        <v>737</v>
      </c>
      <c r="B211" s="86">
        <v>161</v>
      </c>
      <c r="C211" s="87" t="s">
        <v>738</v>
      </c>
      <c r="D211" s="88">
        <v>741318</v>
      </c>
      <c r="E211" s="88"/>
      <c r="F211" s="89" t="s">
        <v>739</v>
      </c>
      <c r="G211" s="109" t="s">
        <v>740</v>
      </c>
      <c r="H211" s="109"/>
      <c r="I211" s="91">
        <v>1</v>
      </c>
      <c r="J211" s="92" t="s">
        <v>88</v>
      </c>
      <c r="K211" s="93">
        <v>1</v>
      </c>
      <c r="L211" s="93" t="s">
        <v>202</v>
      </c>
      <c r="M211" s="116">
        <v>0</v>
      </c>
      <c r="N211" s="116">
        <v>3</v>
      </c>
      <c r="O211" s="116">
        <v>0</v>
      </c>
      <c r="P211" s="94">
        <v>3</v>
      </c>
      <c r="Q211" s="95">
        <v>3</v>
      </c>
      <c r="R211" s="132">
        <v>2</v>
      </c>
      <c r="S211" s="97">
        <v>2700</v>
      </c>
      <c r="T211" s="98">
        <f t="shared" si="54"/>
        <v>5400</v>
      </c>
      <c r="U211" s="99">
        <v>0</v>
      </c>
      <c r="V211" s="100">
        <f t="shared" si="55"/>
        <v>0</v>
      </c>
      <c r="W211" s="101"/>
      <c r="X211" s="102"/>
      <c r="Y211" s="103"/>
      <c r="Z211" s="103"/>
      <c r="AA211" s="99">
        <v>0</v>
      </c>
      <c r="AB211" s="100">
        <f t="shared" si="56"/>
        <v>0</v>
      </c>
      <c r="AC211" s="104"/>
      <c r="AD211" s="105"/>
      <c r="AE211" s="105"/>
      <c r="AF211" s="105"/>
      <c r="AG211" s="99">
        <v>2</v>
      </c>
      <c r="AH211" s="100">
        <f t="shared" si="57"/>
        <v>5400</v>
      </c>
      <c r="AI211" s="106"/>
      <c r="AJ211" s="107"/>
      <c r="AK211" s="107"/>
      <c r="AL211" s="107"/>
      <c r="AM211" s="99">
        <v>0</v>
      </c>
      <c r="AN211" s="100">
        <f t="shared" si="58"/>
        <v>0</v>
      </c>
      <c r="AO211" s="108">
        <f t="shared" si="59"/>
        <v>2</v>
      </c>
      <c r="AP211" s="308">
        <f t="shared" si="60"/>
        <v>0</v>
      </c>
      <c r="AQ211" s="3"/>
      <c r="AR211" s="3"/>
      <c r="AS211" s="3"/>
    </row>
    <row r="212" spans="1:50" s="140" customFormat="1" ht="20.45" customHeight="1">
      <c r="A212" s="85" t="s">
        <v>745</v>
      </c>
      <c r="B212" s="86">
        <v>163</v>
      </c>
      <c r="C212" s="87" t="s">
        <v>746</v>
      </c>
      <c r="D212" s="88">
        <v>849295</v>
      </c>
      <c r="E212" s="88"/>
      <c r="F212" s="89" t="s">
        <v>274</v>
      </c>
      <c r="G212" s="113" t="s">
        <v>747</v>
      </c>
      <c r="H212" s="113"/>
      <c r="I212" s="114">
        <v>1</v>
      </c>
      <c r="J212" s="118" t="s">
        <v>88</v>
      </c>
      <c r="K212" s="115">
        <v>1</v>
      </c>
      <c r="L212" s="115" t="s">
        <v>73</v>
      </c>
      <c r="M212" s="116">
        <f>1050/10*12</f>
        <v>1260</v>
      </c>
      <c r="N212" s="116">
        <f>1097/9*12</f>
        <v>1462.6666666666665</v>
      </c>
      <c r="O212" s="116">
        <v>1286.6666666666667</v>
      </c>
      <c r="P212" s="94">
        <v>1200</v>
      </c>
      <c r="Q212" s="95">
        <v>0</v>
      </c>
      <c r="R212" s="132">
        <v>1300</v>
      </c>
      <c r="S212" s="150">
        <v>51.36</v>
      </c>
      <c r="T212" s="98">
        <f t="shared" si="54"/>
        <v>66768</v>
      </c>
      <c r="U212" s="111">
        <v>700</v>
      </c>
      <c r="V212" s="100">
        <f t="shared" si="55"/>
        <v>35952</v>
      </c>
      <c r="W212" s="101">
        <f>300+400</f>
        <v>700</v>
      </c>
      <c r="X212" s="102" t="s">
        <v>363</v>
      </c>
      <c r="Y212" s="103">
        <v>38</v>
      </c>
      <c r="Z212" s="103">
        <f>Y212*W212</f>
        <v>26600</v>
      </c>
      <c r="AA212" s="138">
        <v>0</v>
      </c>
      <c r="AB212" s="100">
        <f t="shared" si="56"/>
        <v>0</v>
      </c>
      <c r="AC212" s="104"/>
      <c r="AD212" s="105"/>
      <c r="AE212" s="105"/>
      <c r="AF212" s="105"/>
      <c r="AG212" s="138">
        <v>300</v>
      </c>
      <c r="AH212" s="100">
        <f t="shared" si="57"/>
        <v>15408</v>
      </c>
      <c r="AI212" s="106">
        <v>300</v>
      </c>
      <c r="AJ212" s="107" t="s">
        <v>363</v>
      </c>
      <c r="AK212" s="107">
        <v>38</v>
      </c>
      <c r="AL212" s="107">
        <f>AK212*AI212</f>
        <v>11400</v>
      </c>
      <c r="AM212" s="138">
        <v>300</v>
      </c>
      <c r="AN212" s="100">
        <f t="shared" si="58"/>
        <v>15408</v>
      </c>
      <c r="AO212" s="108">
        <f t="shared" si="59"/>
        <v>1300</v>
      </c>
      <c r="AP212" s="308">
        <f t="shared" si="60"/>
        <v>38000</v>
      </c>
      <c r="AQ212" s="3"/>
      <c r="AR212" s="3"/>
      <c r="AS212" s="3"/>
    </row>
    <row r="213" spans="1:50" s="140" customFormat="1" ht="20.45" customHeight="1">
      <c r="A213" s="85" t="s">
        <v>748</v>
      </c>
      <c r="B213" s="86">
        <v>164</v>
      </c>
      <c r="C213" s="87" t="s">
        <v>749</v>
      </c>
      <c r="D213" s="88">
        <v>317258</v>
      </c>
      <c r="E213" s="88"/>
      <c r="F213" s="89" t="s">
        <v>750</v>
      </c>
      <c r="G213" s="109" t="s">
        <v>751</v>
      </c>
      <c r="H213" s="109"/>
      <c r="I213" s="91">
        <v>1</v>
      </c>
      <c r="J213" s="92" t="s">
        <v>752</v>
      </c>
      <c r="K213" s="93">
        <v>10</v>
      </c>
      <c r="L213" s="93" t="s">
        <v>84</v>
      </c>
      <c r="M213" s="116">
        <f>232/10*12</f>
        <v>278.39999999999998</v>
      </c>
      <c r="N213" s="116">
        <f>163/9*12</f>
        <v>217.33333333333331</v>
      </c>
      <c r="O213" s="116">
        <v>250.66666666666666</v>
      </c>
      <c r="P213" s="94">
        <v>249</v>
      </c>
      <c r="Q213" s="95">
        <v>49</v>
      </c>
      <c r="R213" s="132">
        <v>400</v>
      </c>
      <c r="S213" s="97">
        <f>5.5*10</f>
        <v>55</v>
      </c>
      <c r="T213" s="98">
        <f t="shared" si="54"/>
        <v>22000</v>
      </c>
      <c r="U213" s="99">
        <v>200</v>
      </c>
      <c r="V213" s="100">
        <f t="shared" si="55"/>
        <v>11000</v>
      </c>
      <c r="W213" s="101">
        <f>2*100</f>
        <v>200</v>
      </c>
      <c r="X213" s="102" t="s">
        <v>753</v>
      </c>
      <c r="Y213" s="103">
        <v>55</v>
      </c>
      <c r="Z213" s="103">
        <f>Y213*W213</f>
        <v>11000</v>
      </c>
      <c r="AA213" s="99">
        <v>100</v>
      </c>
      <c r="AB213" s="100">
        <f t="shared" si="56"/>
        <v>5500</v>
      </c>
      <c r="AC213" s="104">
        <v>100</v>
      </c>
      <c r="AD213" s="105" t="s">
        <v>753</v>
      </c>
      <c r="AE213" s="105">
        <v>55</v>
      </c>
      <c r="AF213" s="105">
        <f>AE213*AC213</f>
        <v>5500</v>
      </c>
      <c r="AG213" s="99">
        <v>0</v>
      </c>
      <c r="AH213" s="100">
        <f t="shared" si="57"/>
        <v>0</v>
      </c>
      <c r="AI213" s="106"/>
      <c r="AJ213" s="107"/>
      <c r="AK213" s="107"/>
      <c r="AL213" s="107"/>
      <c r="AM213" s="99">
        <v>100</v>
      </c>
      <c r="AN213" s="100">
        <f t="shared" si="58"/>
        <v>5500</v>
      </c>
      <c r="AO213" s="108">
        <f t="shared" si="59"/>
        <v>400</v>
      </c>
      <c r="AP213" s="308">
        <f t="shared" si="60"/>
        <v>16500</v>
      </c>
      <c r="AQ213" s="3"/>
      <c r="AR213" s="3"/>
      <c r="AS213" s="3"/>
    </row>
    <row r="214" spans="1:50" s="140" customFormat="1" ht="20.45" customHeight="1">
      <c r="A214" s="85" t="s">
        <v>754</v>
      </c>
      <c r="B214" s="86">
        <v>165</v>
      </c>
      <c r="C214" s="87" t="s">
        <v>755</v>
      </c>
      <c r="D214" s="88">
        <v>731554</v>
      </c>
      <c r="E214" s="88"/>
      <c r="F214" s="89" t="s">
        <v>756</v>
      </c>
      <c r="G214" s="109" t="s">
        <v>757</v>
      </c>
      <c r="H214" s="109" t="s">
        <v>110</v>
      </c>
      <c r="I214" s="91">
        <v>1</v>
      </c>
      <c r="J214" s="92" t="s">
        <v>51</v>
      </c>
      <c r="K214" s="93">
        <v>1</v>
      </c>
      <c r="L214" s="93" t="s">
        <v>178</v>
      </c>
      <c r="M214" s="116">
        <v>7</v>
      </c>
      <c r="N214" s="116">
        <v>6</v>
      </c>
      <c r="O214" s="116">
        <v>5.333333333333333</v>
      </c>
      <c r="P214" s="94">
        <v>6</v>
      </c>
      <c r="Q214" s="95">
        <v>6</v>
      </c>
      <c r="R214" s="132">
        <v>12</v>
      </c>
      <c r="S214" s="97">
        <v>26.75</v>
      </c>
      <c r="T214" s="98">
        <f t="shared" si="54"/>
        <v>321</v>
      </c>
      <c r="U214" s="99">
        <v>0</v>
      </c>
      <c r="V214" s="100">
        <f t="shared" si="55"/>
        <v>0</v>
      </c>
      <c r="W214" s="101"/>
      <c r="X214" s="102"/>
      <c r="Y214" s="103"/>
      <c r="Z214" s="103">
        <f>Y214*W214</f>
        <v>0</v>
      </c>
      <c r="AA214" s="99">
        <v>12</v>
      </c>
      <c r="AB214" s="100">
        <f t="shared" si="56"/>
        <v>321</v>
      </c>
      <c r="AC214" s="104">
        <v>12</v>
      </c>
      <c r="AD214" s="105" t="s">
        <v>110</v>
      </c>
      <c r="AE214" s="105">
        <v>26.75</v>
      </c>
      <c r="AF214" s="105">
        <f>AE214*AC214</f>
        <v>321</v>
      </c>
      <c r="AG214" s="99">
        <v>0</v>
      </c>
      <c r="AH214" s="100">
        <f t="shared" si="57"/>
        <v>0</v>
      </c>
      <c r="AI214" s="106"/>
      <c r="AJ214" s="107"/>
      <c r="AK214" s="107"/>
      <c r="AL214" s="107"/>
      <c r="AM214" s="99">
        <v>0</v>
      </c>
      <c r="AN214" s="100">
        <f t="shared" si="58"/>
        <v>0</v>
      </c>
      <c r="AO214" s="108">
        <f t="shared" si="59"/>
        <v>12</v>
      </c>
      <c r="AP214" s="308">
        <f t="shared" si="60"/>
        <v>321</v>
      </c>
      <c r="AQ214" s="3"/>
      <c r="AR214" s="3"/>
      <c r="AS214" s="3"/>
    </row>
    <row r="215" spans="1:50" s="140" customFormat="1" ht="20.45" customHeight="1">
      <c r="A215" s="85" t="s">
        <v>758</v>
      </c>
      <c r="B215" s="86">
        <v>166</v>
      </c>
      <c r="C215" s="87" t="s">
        <v>759</v>
      </c>
      <c r="D215" s="88">
        <v>227444</v>
      </c>
      <c r="E215" s="88"/>
      <c r="F215" s="89" t="s">
        <v>760</v>
      </c>
      <c r="G215" s="109" t="s">
        <v>761</v>
      </c>
      <c r="H215" s="109"/>
      <c r="I215" s="91">
        <v>1</v>
      </c>
      <c r="J215" s="92" t="s">
        <v>83</v>
      </c>
      <c r="K215" s="93">
        <v>1000</v>
      </c>
      <c r="L215" s="93" t="s">
        <v>84</v>
      </c>
      <c r="M215" s="116">
        <f>18*10/12</f>
        <v>15</v>
      </c>
      <c r="N215" s="116">
        <f>15/9*12</f>
        <v>20</v>
      </c>
      <c r="O215" s="116">
        <v>14.666666666666666</v>
      </c>
      <c r="P215" s="94">
        <v>15</v>
      </c>
      <c r="Q215" s="95">
        <v>5</v>
      </c>
      <c r="R215" s="132">
        <v>40</v>
      </c>
      <c r="S215" s="110">
        <v>200</v>
      </c>
      <c r="T215" s="98">
        <f t="shared" si="54"/>
        <v>8000</v>
      </c>
      <c r="U215" s="99">
        <v>10</v>
      </c>
      <c r="V215" s="100">
        <f t="shared" si="55"/>
        <v>2000</v>
      </c>
      <c r="W215" s="101">
        <v>10</v>
      </c>
      <c r="X215" s="102" t="s">
        <v>509</v>
      </c>
      <c r="Y215" s="103">
        <v>180</v>
      </c>
      <c r="Z215" s="103">
        <f>Y215*W215</f>
        <v>1800</v>
      </c>
      <c r="AA215" s="99">
        <v>10</v>
      </c>
      <c r="AB215" s="100">
        <f t="shared" si="56"/>
        <v>2000</v>
      </c>
      <c r="AC215" s="104">
        <v>10</v>
      </c>
      <c r="AD215" s="105" t="s">
        <v>509</v>
      </c>
      <c r="AE215" s="105">
        <v>180</v>
      </c>
      <c r="AF215" s="105">
        <f>AE215*AC215</f>
        <v>1800</v>
      </c>
      <c r="AG215" s="99">
        <v>10</v>
      </c>
      <c r="AH215" s="100">
        <f t="shared" si="57"/>
        <v>2000</v>
      </c>
      <c r="AI215" s="106"/>
      <c r="AJ215" s="107"/>
      <c r="AK215" s="107"/>
      <c r="AL215" s="107"/>
      <c r="AM215" s="99">
        <v>10</v>
      </c>
      <c r="AN215" s="100">
        <f t="shared" si="58"/>
        <v>2000</v>
      </c>
      <c r="AO215" s="108">
        <f t="shared" si="59"/>
        <v>40</v>
      </c>
      <c r="AP215" s="308">
        <f t="shared" si="60"/>
        <v>3600</v>
      </c>
      <c r="AQ215" s="3"/>
      <c r="AR215" s="3"/>
      <c r="AS215" s="3"/>
    </row>
    <row r="216" spans="1:50" s="140" customFormat="1" ht="20.45" customHeight="1">
      <c r="A216" s="85" t="s">
        <v>762</v>
      </c>
      <c r="B216" s="86">
        <v>167</v>
      </c>
      <c r="C216" s="87" t="s">
        <v>763</v>
      </c>
      <c r="D216" s="88">
        <v>767664</v>
      </c>
      <c r="E216" s="88"/>
      <c r="F216" s="89" t="s">
        <v>764</v>
      </c>
      <c r="G216" s="109" t="s">
        <v>765</v>
      </c>
      <c r="H216" s="109" t="s">
        <v>110</v>
      </c>
      <c r="I216" s="91">
        <v>1</v>
      </c>
      <c r="J216" s="92" t="s">
        <v>88</v>
      </c>
      <c r="K216" s="93">
        <v>1</v>
      </c>
      <c r="L216" s="93" t="s">
        <v>73</v>
      </c>
      <c r="M216" s="116">
        <f>858*12/10</f>
        <v>1029.5999999999999</v>
      </c>
      <c r="N216" s="116">
        <f>1027/9*12</f>
        <v>1369.3333333333335</v>
      </c>
      <c r="O216" s="116">
        <v>1562.6666666666667</v>
      </c>
      <c r="P216" s="94">
        <v>1630</v>
      </c>
      <c r="Q216" s="95">
        <v>330</v>
      </c>
      <c r="R216" s="132">
        <v>1600</v>
      </c>
      <c r="S216" s="97">
        <v>10.26</v>
      </c>
      <c r="T216" s="98">
        <f t="shared" si="54"/>
        <v>16416</v>
      </c>
      <c r="U216" s="99">
        <v>300</v>
      </c>
      <c r="V216" s="100">
        <f t="shared" si="55"/>
        <v>3078</v>
      </c>
      <c r="W216" s="101">
        <v>300</v>
      </c>
      <c r="X216" s="102" t="s">
        <v>110</v>
      </c>
      <c r="Y216" s="103">
        <f>512.5/50</f>
        <v>10.25</v>
      </c>
      <c r="Z216" s="103">
        <f>Y216*W216</f>
        <v>3075</v>
      </c>
      <c r="AA216" s="99">
        <v>700</v>
      </c>
      <c r="AB216" s="100">
        <f t="shared" si="56"/>
        <v>7182</v>
      </c>
      <c r="AC216" s="104">
        <f>300+400</f>
        <v>700</v>
      </c>
      <c r="AD216" s="105" t="s">
        <v>110</v>
      </c>
      <c r="AE216" s="105">
        <v>10.25</v>
      </c>
      <c r="AF216" s="105">
        <f>4100+3000</f>
        <v>7100</v>
      </c>
      <c r="AG216" s="99">
        <v>300</v>
      </c>
      <c r="AH216" s="100">
        <f t="shared" si="57"/>
        <v>3078</v>
      </c>
      <c r="AI216" s="106"/>
      <c r="AJ216" s="107"/>
      <c r="AK216" s="107"/>
      <c r="AL216" s="107"/>
      <c r="AM216" s="99">
        <v>300</v>
      </c>
      <c r="AN216" s="100">
        <f t="shared" si="58"/>
        <v>3078</v>
      </c>
      <c r="AO216" s="108">
        <f t="shared" si="59"/>
        <v>1600</v>
      </c>
      <c r="AP216" s="308">
        <f t="shared" si="60"/>
        <v>10175</v>
      </c>
      <c r="AQ216" s="3"/>
      <c r="AR216" s="3"/>
      <c r="AS216" s="3"/>
    </row>
    <row r="217" spans="1:50" s="140" customFormat="1" ht="20.45" customHeight="1">
      <c r="A217" s="85" t="s">
        <v>766</v>
      </c>
      <c r="B217" s="86">
        <v>168</v>
      </c>
      <c r="C217" s="87" t="s">
        <v>767</v>
      </c>
      <c r="D217" s="88">
        <v>762374</v>
      </c>
      <c r="E217" s="88"/>
      <c r="F217" s="89" t="s">
        <v>768</v>
      </c>
      <c r="G217" s="109" t="s">
        <v>769</v>
      </c>
      <c r="H217" s="109"/>
      <c r="I217" s="91">
        <v>1</v>
      </c>
      <c r="J217" s="92" t="s">
        <v>195</v>
      </c>
      <c r="K217" s="93">
        <v>1</v>
      </c>
      <c r="L217" s="93" t="s">
        <v>540</v>
      </c>
      <c r="M217" s="116">
        <f>120/10*12</f>
        <v>144</v>
      </c>
      <c r="N217" s="116">
        <f>214/9*12</f>
        <v>285.33333333333337</v>
      </c>
      <c r="O217" s="116">
        <v>380</v>
      </c>
      <c r="P217" s="94">
        <v>400</v>
      </c>
      <c r="Q217" s="95">
        <v>0</v>
      </c>
      <c r="R217" s="96">
        <f t="shared" ref="R217:R222" si="61">P217-Q217</f>
        <v>400</v>
      </c>
      <c r="S217" s="97">
        <v>18.010000000000002</v>
      </c>
      <c r="T217" s="98">
        <f t="shared" si="54"/>
        <v>7204.0000000000009</v>
      </c>
      <c r="U217" s="99">
        <v>100</v>
      </c>
      <c r="V217" s="100">
        <f t="shared" si="55"/>
        <v>1801.0000000000002</v>
      </c>
      <c r="W217" s="101"/>
      <c r="X217" s="102"/>
      <c r="Y217" s="103"/>
      <c r="Z217" s="103"/>
      <c r="AA217" s="99">
        <v>100</v>
      </c>
      <c r="AB217" s="100">
        <f t="shared" si="56"/>
        <v>1801.0000000000002</v>
      </c>
      <c r="AC217" s="104">
        <v>200</v>
      </c>
      <c r="AD217" s="105" t="s">
        <v>232</v>
      </c>
      <c r="AE217" s="105">
        <v>13</v>
      </c>
      <c r="AF217" s="105">
        <f>AE217*AC217</f>
        <v>2600</v>
      </c>
      <c r="AG217" s="99">
        <v>100</v>
      </c>
      <c r="AH217" s="100">
        <f t="shared" si="57"/>
        <v>1801.0000000000002</v>
      </c>
      <c r="AI217" s="106"/>
      <c r="AJ217" s="107"/>
      <c r="AK217" s="107"/>
      <c r="AL217" s="107">
        <f>AK217*AI217</f>
        <v>0</v>
      </c>
      <c r="AM217" s="99">
        <v>100</v>
      </c>
      <c r="AN217" s="100">
        <f t="shared" si="58"/>
        <v>1801.0000000000002</v>
      </c>
      <c r="AO217" s="108">
        <f t="shared" si="59"/>
        <v>400</v>
      </c>
      <c r="AP217" s="308">
        <f t="shared" si="60"/>
        <v>2600</v>
      </c>
      <c r="AQ217" s="3"/>
      <c r="AR217" s="3"/>
      <c r="AS217" s="3"/>
    </row>
    <row r="218" spans="1:50" s="140" customFormat="1" ht="20.45" customHeight="1">
      <c r="A218" s="85" t="s">
        <v>770</v>
      </c>
      <c r="B218" s="86">
        <v>169</v>
      </c>
      <c r="C218" s="87" t="s">
        <v>771</v>
      </c>
      <c r="D218" s="88">
        <v>204889</v>
      </c>
      <c r="E218" s="88"/>
      <c r="F218" s="89" t="s">
        <v>772</v>
      </c>
      <c r="G218" s="109" t="s">
        <v>773</v>
      </c>
      <c r="H218" s="109" t="s">
        <v>110</v>
      </c>
      <c r="I218" s="91">
        <v>1</v>
      </c>
      <c r="J218" s="92" t="s">
        <v>195</v>
      </c>
      <c r="K218" s="93">
        <v>1</v>
      </c>
      <c r="L218" s="93" t="s">
        <v>196</v>
      </c>
      <c r="M218" s="116">
        <f>170/10*12</f>
        <v>204</v>
      </c>
      <c r="N218" s="116">
        <f>180/9*12</f>
        <v>240</v>
      </c>
      <c r="O218" s="116">
        <v>312</v>
      </c>
      <c r="P218" s="94">
        <v>300</v>
      </c>
      <c r="Q218" s="95">
        <v>0</v>
      </c>
      <c r="R218" s="96">
        <f t="shared" si="61"/>
        <v>300</v>
      </c>
      <c r="S218" s="97">
        <v>15</v>
      </c>
      <c r="T218" s="98">
        <f t="shared" si="54"/>
        <v>4500</v>
      </c>
      <c r="U218" s="99">
        <v>100</v>
      </c>
      <c r="V218" s="100">
        <f t="shared" si="55"/>
        <v>1500</v>
      </c>
      <c r="W218" s="101">
        <v>100</v>
      </c>
      <c r="X218" s="102" t="s">
        <v>110</v>
      </c>
      <c r="Y218" s="103">
        <v>15</v>
      </c>
      <c r="Z218" s="103">
        <f>Y218*W218</f>
        <v>1500</v>
      </c>
      <c r="AA218" s="99">
        <v>100</v>
      </c>
      <c r="AB218" s="100">
        <f t="shared" si="56"/>
        <v>1500</v>
      </c>
      <c r="AC218" s="104"/>
      <c r="AD218" s="105"/>
      <c r="AE218" s="105"/>
      <c r="AF218" s="105"/>
      <c r="AG218" s="99">
        <v>0</v>
      </c>
      <c r="AH218" s="100">
        <f t="shared" si="57"/>
        <v>0</v>
      </c>
      <c r="AI218" s="106">
        <v>100</v>
      </c>
      <c r="AJ218" s="107" t="s">
        <v>110</v>
      </c>
      <c r="AK218" s="107">
        <v>15</v>
      </c>
      <c r="AL218" s="107">
        <f>AK218*AI218</f>
        <v>1500</v>
      </c>
      <c r="AM218" s="99">
        <v>100</v>
      </c>
      <c r="AN218" s="100">
        <f t="shared" si="58"/>
        <v>1500</v>
      </c>
      <c r="AO218" s="108">
        <f t="shared" si="59"/>
        <v>300</v>
      </c>
      <c r="AP218" s="308">
        <f t="shared" si="60"/>
        <v>3000</v>
      </c>
      <c r="AQ218" s="3"/>
      <c r="AR218" s="3"/>
      <c r="AS218" s="3"/>
    </row>
    <row r="219" spans="1:50" ht="20.45" customHeight="1">
      <c r="A219" s="85" t="s">
        <v>774</v>
      </c>
      <c r="B219" s="86">
        <v>170</v>
      </c>
      <c r="C219" s="87" t="s">
        <v>775</v>
      </c>
      <c r="D219" s="88">
        <v>204929</v>
      </c>
      <c r="E219" s="88"/>
      <c r="F219" s="89" t="s">
        <v>776</v>
      </c>
      <c r="G219" s="109" t="s">
        <v>777</v>
      </c>
      <c r="H219" s="109"/>
      <c r="I219" s="91">
        <v>1</v>
      </c>
      <c r="J219" s="92" t="s">
        <v>83</v>
      </c>
      <c r="K219" s="93">
        <v>1000</v>
      </c>
      <c r="L219" s="93" t="s">
        <v>84</v>
      </c>
      <c r="M219" s="116">
        <f>62.5/10*12</f>
        <v>75</v>
      </c>
      <c r="N219" s="116">
        <f>51/9*12</f>
        <v>68</v>
      </c>
      <c r="O219" s="116">
        <v>56.666666666666664</v>
      </c>
      <c r="P219" s="94">
        <v>56</v>
      </c>
      <c r="Q219" s="95">
        <v>6</v>
      </c>
      <c r="R219" s="96">
        <f t="shared" si="61"/>
        <v>50</v>
      </c>
      <c r="S219" s="125">
        <v>500</v>
      </c>
      <c r="T219" s="98">
        <f t="shared" si="54"/>
        <v>25000</v>
      </c>
      <c r="U219" s="99">
        <v>15</v>
      </c>
      <c r="V219" s="100">
        <f t="shared" si="55"/>
        <v>7500</v>
      </c>
      <c r="W219" s="101">
        <v>15</v>
      </c>
      <c r="X219" s="102" t="s">
        <v>778</v>
      </c>
      <c r="Y219" s="127">
        <v>500</v>
      </c>
      <c r="Z219" s="103">
        <f>Y219*W219</f>
        <v>7500</v>
      </c>
      <c r="AA219" s="99">
        <v>10</v>
      </c>
      <c r="AB219" s="100">
        <f t="shared" si="56"/>
        <v>5000</v>
      </c>
      <c r="AC219" s="104">
        <v>10</v>
      </c>
      <c r="AD219" s="105" t="s">
        <v>778</v>
      </c>
      <c r="AE219" s="105">
        <v>500</v>
      </c>
      <c r="AF219" s="105">
        <f>AE219*AC219</f>
        <v>5000</v>
      </c>
      <c r="AG219" s="99">
        <v>15</v>
      </c>
      <c r="AH219" s="100">
        <f t="shared" si="57"/>
        <v>7500</v>
      </c>
      <c r="AI219" s="106">
        <v>15</v>
      </c>
      <c r="AJ219" s="107" t="s">
        <v>778</v>
      </c>
      <c r="AK219" s="107">
        <v>500</v>
      </c>
      <c r="AL219" s="107">
        <f>AK219*AI219</f>
        <v>7500</v>
      </c>
      <c r="AM219" s="99">
        <v>10</v>
      </c>
      <c r="AN219" s="100">
        <f t="shared" si="58"/>
        <v>5000</v>
      </c>
      <c r="AO219" s="108">
        <f t="shared" si="59"/>
        <v>50</v>
      </c>
      <c r="AP219" s="308">
        <f t="shared" si="60"/>
        <v>20000</v>
      </c>
    </row>
    <row r="220" spans="1:50" ht="20.45" customHeight="1">
      <c r="A220" s="85" t="s">
        <v>779</v>
      </c>
      <c r="B220" s="86">
        <v>171</v>
      </c>
      <c r="C220" s="87" t="s">
        <v>780</v>
      </c>
      <c r="D220" s="88">
        <v>204993</v>
      </c>
      <c r="E220" s="88"/>
      <c r="F220" s="89" t="s">
        <v>781</v>
      </c>
      <c r="G220" s="109" t="s">
        <v>782</v>
      </c>
      <c r="H220" s="109"/>
      <c r="I220" s="91">
        <v>1</v>
      </c>
      <c r="J220" s="92" t="s">
        <v>83</v>
      </c>
      <c r="K220" s="93">
        <v>1000</v>
      </c>
      <c r="L220" s="93" t="s">
        <v>84</v>
      </c>
      <c r="M220" s="116">
        <f>65.5/10*12</f>
        <v>78.599999999999994</v>
      </c>
      <c r="N220" s="116">
        <f>64.5/9*12</f>
        <v>86</v>
      </c>
      <c r="O220" s="116">
        <v>101.33333333333333</v>
      </c>
      <c r="P220" s="94">
        <v>107</v>
      </c>
      <c r="Q220" s="95">
        <v>7</v>
      </c>
      <c r="R220" s="96">
        <f t="shared" si="61"/>
        <v>100</v>
      </c>
      <c r="S220" s="125">
        <v>420</v>
      </c>
      <c r="T220" s="98">
        <f t="shared" si="54"/>
        <v>42000</v>
      </c>
      <c r="U220" s="99">
        <v>25</v>
      </c>
      <c r="V220" s="100">
        <f t="shared" si="55"/>
        <v>10500</v>
      </c>
      <c r="W220" s="101">
        <v>35</v>
      </c>
      <c r="X220" s="102" t="s">
        <v>240</v>
      </c>
      <c r="Y220" s="127">
        <f>201.16*2</f>
        <v>402.32</v>
      </c>
      <c r="Z220" s="103">
        <f>4023.2+9950</f>
        <v>13973.2</v>
      </c>
      <c r="AA220" s="99">
        <v>25</v>
      </c>
      <c r="AB220" s="100">
        <f t="shared" si="56"/>
        <v>10500</v>
      </c>
      <c r="AC220" s="104">
        <v>25</v>
      </c>
      <c r="AD220" s="105" t="s">
        <v>197</v>
      </c>
      <c r="AE220" s="105">
        <f>2*192.6</f>
        <v>385.2</v>
      </c>
      <c r="AF220" s="105">
        <f>AE220*AC220</f>
        <v>9630</v>
      </c>
      <c r="AG220" s="99">
        <v>25</v>
      </c>
      <c r="AH220" s="100">
        <f t="shared" si="57"/>
        <v>10500</v>
      </c>
      <c r="AI220" s="106"/>
      <c r="AJ220" s="107"/>
      <c r="AK220" s="107"/>
      <c r="AL220" s="107"/>
      <c r="AM220" s="99">
        <v>25</v>
      </c>
      <c r="AN220" s="100">
        <f t="shared" si="58"/>
        <v>10500</v>
      </c>
      <c r="AO220" s="108">
        <f t="shared" si="59"/>
        <v>100</v>
      </c>
      <c r="AP220" s="308">
        <f t="shared" si="60"/>
        <v>23603.200000000001</v>
      </c>
    </row>
    <row r="221" spans="1:50" ht="20.45" customHeight="1">
      <c r="A221" s="85" t="s">
        <v>783</v>
      </c>
      <c r="B221" s="86">
        <v>172</v>
      </c>
      <c r="C221" s="87" t="s">
        <v>784</v>
      </c>
      <c r="D221" s="88">
        <v>650746</v>
      </c>
      <c r="E221" s="88"/>
      <c r="F221" s="89" t="s">
        <v>785</v>
      </c>
      <c r="G221" s="113" t="s">
        <v>786</v>
      </c>
      <c r="H221" s="113"/>
      <c r="I221" s="114">
        <v>1</v>
      </c>
      <c r="J221" s="118" t="s">
        <v>83</v>
      </c>
      <c r="K221" s="115">
        <v>100</v>
      </c>
      <c r="L221" s="115" t="s">
        <v>84</v>
      </c>
      <c r="M221" s="116">
        <f>20/10*12</f>
        <v>24</v>
      </c>
      <c r="N221" s="116">
        <v>0</v>
      </c>
      <c r="O221" s="116">
        <v>13.333333333333334</v>
      </c>
      <c r="P221" s="94">
        <v>15</v>
      </c>
      <c r="Q221" s="95">
        <v>0</v>
      </c>
      <c r="R221" s="96">
        <f t="shared" si="61"/>
        <v>15</v>
      </c>
      <c r="S221" s="97">
        <v>56</v>
      </c>
      <c r="T221" s="98">
        <f t="shared" si="54"/>
        <v>840</v>
      </c>
      <c r="U221" s="99">
        <v>15</v>
      </c>
      <c r="V221" s="100">
        <f t="shared" si="55"/>
        <v>840</v>
      </c>
      <c r="W221" s="101">
        <v>20</v>
      </c>
      <c r="X221" s="102" t="s">
        <v>710</v>
      </c>
      <c r="Y221" s="103">
        <v>55</v>
      </c>
      <c r="Z221" s="103">
        <f>Y221*W221</f>
        <v>1100</v>
      </c>
      <c r="AA221" s="99">
        <v>0</v>
      </c>
      <c r="AB221" s="100">
        <f t="shared" si="56"/>
        <v>0</v>
      </c>
      <c r="AC221" s="104"/>
      <c r="AD221" s="105"/>
      <c r="AE221" s="105"/>
      <c r="AF221" s="105"/>
      <c r="AG221" s="99">
        <v>0</v>
      </c>
      <c r="AH221" s="100">
        <f t="shared" si="57"/>
        <v>0</v>
      </c>
      <c r="AI221" s="106"/>
      <c r="AJ221" s="107"/>
      <c r="AK221" s="107"/>
      <c r="AL221" s="107"/>
      <c r="AM221" s="99">
        <v>0</v>
      </c>
      <c r="AN221" s="100">
        <f t="shared" si="58"/>
        <v>0</v>
      </c>
      <c r="AO221" s="108">
        <f t="shared" si="59"/>
        <v>15</v>
      </c>
      <c r="AP221" s="308">
        <f t="shared" si="60"/>
        <v>1100</v>
      </c>
    </row>
    <row r="222" spans="1:50" ht="20.45" customHeight="1">
      <c r="A222" s="85" t="s">
        <v>787</v>
      </c>
      <c r="B222" s="86">
        <v>173</v>
      </c>
      <c r="C222" s="87" t="s">
        <v>788</v>
      </c>
      <c r="D222" s="88">
        <v>348694</v>
      </c>
      <c r="E222" s="88"/>
      <c r="F222" s="89" t="s">
        <v>789</v>
      </c>
      <c r="G222" s="109" t="s">
        <v>790</v>
      </c>
      <c r="H222" s="109"/>
      <c r="I222" s="91">
        <v>1</v>
      </c>
      <c r="J222" s="92" t="s">
        <v>184</v>
      </c>
      <c r="K222" s="93">
        <v>1000</v>
      </c>
      <c r="L222" s="93" t="s">
        <v>185</v>
      </c>
      <c r="M222" s="116">
        <f>38/10*12</f>
        <v>45.599999999999994</v>
      </c>
      <c r="N222" s="116">
        <f>20/9*12</f>
        <v>26.666666666666668</v>
      </c>
      <c r="O222" s="116">
        <v>30.666666666666668</v>
      </c>
      <c r="P222" s="94">
        <v>30</v>
      </c>
      <c r="Q222" s="95">
        <v>0</v>
      </c>
      <c r="R222" s="96">
        <f t="shared" si="61"/>
        <v>30</v>
      </c>
      <c r="S222" s="97">
        <v>350</v>
      </c>
      <c r="T222" s="98">
        <f t="shared" si="54"/>
        <v>10500</v>
      </c>
      <c r="U222" s="99">
        <v>10</v>
      </c>
      <c r="V222" s="100">
        <f t="shared" si="55"/>
        <v>3500</v>
      </c>
      <c r="W222" s="101">
        <v>10</v>
      </c>
      <c r="X222" s="102" t="s">
        <v>509</v>
      </c>
      <c r="Y222" s="103">
        <v>260</v>
      </c>
      <c r="Z222" s="103">
        <f>Y222*W222</f>
        <v>2600</v>
      </c>
      <c r="AA222" s="99">
        <v>0</v>
      </c>
      <c r="AB222" s="100">
        <f t="shared" si="56"/>
        <v>0</v>
      </c>
      <c r="AC222" s="104"/>
      <c r="AD222" s="105"/>
      <c r="AE222" s="105"/>
      <c r="AF222" s="105"/>
      <c r="AG222" s="99">
        <v>10</v>
      </c>
      <c r="AH222" s="100">
        <f t="shared" si="57"/>
        <v>3500</v>
      </c>
      <c r="AI222" s="106">
        <v>10</v>
      </c>
      <c r="AJ222" s="107" t="s">
        <v>509</v>
      </c>
      <c r="AK222" s="107">
        <v>260</v>
      </c>
      <c r="AL222" s="107">
        <f>AK222*AI222</f>
        <v>2600</v>
      </c>
      <c r="AM222" s="99">
        <v>10</v>
      </c>
      <c r="AN222" s="100">
        <f t="shared" si="58"/>
        <v>3500</v>
      </c>
      <c r="AO222" s="108">
        <f t="shared" si="59"/>
        <v>30</v>
      </c>
      <c r="AP222" s="308">
        <f t="shared" si="60"/>
        <v>5200</v>
      </c>
    </row>
    <row r="223" spans="1:50" ht="20.45" customHeight="1">
      <c r="A223" s="85" t="s">
        <v>791</v>
      </c>
      <c r="B223" s="86">
        <v>174</v>
      </c>
      <c r="C223" s="87" t="s">
        <v>792</v>
      </c>
      <c r="D223" s="88">
        <v>737390</v>
      </c>
      <c r="E223" s="88"/>
      <c r="F223" s="89" t="s">
        <v>793</v>
      </c>
      <c r="G223" s="109" t="s">
        <v>794</v>
      </c>
      <c r="H223" s="109" t="s">
        <v>110</v>
      </c>
      <c r="I223" s="91">
        <v>1</v>
      </c>
      <c r="J223" s="92" t="s">
        <v>83</v>
      </c>
      <c r="K223" s="93">
        <v>30</v>
      </c>
      <c r="L223" s="93" t="s">
        <v>84</v>
      </c>
      <c r="M223" s="138">
        <f>40350/30*12/10</f>
        <v>1614</v>
      </c>
      <c r="N223" s="138">
        <f>1435/9*12</f>
        <v>1913.3333333333335</v>
      </c>
      <c r="O223" s="138">
        <v>1738.6666666666667</v>
      </c>
      <c r="P223" s="94">
        <v>1820</v>
      </c>
      <c r="Q223" s="95">
        <v>120</v>
      </c>
      <c r="R223" s="145">
        <v>1300</v>
      </c>
      <c r="S223" s="120">
        <v>38.520000000000003</v>
      </c>
      <c r="T223" s="98">
        <f t="shared" si="54"/>
        <v>50076.000000000007</v>
      </c>
      <c r="U223" s="99">
        <v>0</v>
      </c>
      <c r="V223" s="100">
        <f t="shared" si="55"/>
        <v>0</v>
      </c>
      <c r="W223" s="101"/>
      <c r="X223" s="102"/>
      <c r="Y223" s="103"/>
      <c r="Z223" s="103"/>
      <c r="AA223" s="99">
        <v>500</v>
      </c>
      <c r="AB223" s="100">
        <f t="shared" si="56"/>
        <v>19260</v>
      </c>
      <c r="AC223" s="104">
        <v>500</v>
      </c>
      <c r="AD223" s="105" t="s">
        <v>110</v>
      </c>
      <c r="AE223" s="134">
        <v>38.520000000000003</v>
      </c>
      <c r="AF223" s="105">
        <f>AE223*AC223</f>
        <v>19260</v>
      </c>
      <c r="AG223" s="99">
        <v>400</v>
      </c>
      <c r="AH223" s="100">
        <f t="shared" si="57"/>
        <v>15408.000000000002</v>
      </c>
      <c r="AI223" s="106">
        <v>400</v>
      </c>
      <c r="AJ223" s="107" t="s">
        <v>110</v>
      </c>
      <c r="AK223" s="107">
        <v>38.520000000000003</v>
      </c>
      <c r="AL223" s="107">
        <f>AK223*AI223</f>
        <v>15408.000000000002</v>
      </c>
      <c r="AM223" s="99">
        <v>400</v>
      </c>
      <c r="AN223" s="100">
        <f t="shared" si="58"/>
        <v>15408.000000000002</v>
      </c>
      <c r="AO223" s="108">
        <f t="shared" si="59"/>
        <v>1300</v>
      </c>
      <c r="AP223" s="308">
        <f t="shared" si="60"/>
        <v>34668</v>
      </c>
    </row>
    <row r="224" spans="1:50" s="121" customFormat="1" ht="20.45" customHeight="1">
      <c r="A224" s="85" t="s">
        <v>795</v>
      </c>
      <c r="B224" s="86">
        <v>175</v>
      </c>
      <c r="C224" s="87">
        <v>815201</v>
      </c>
      <c r="D224" s="88">
        <v>786131</v>
      </c>
      <c r="E224" s="88"/>
      <c r="F224" s="117" t="s">
        <v>796</v>
      </c>
      <c r="G224" s="109" t="s">
        <v>797</v>
      </c>
      <c r="H224" s="109"/>
      <c r="I224" s="109">
        <v>1</v>
      </c>
      <c r="J224" s="91" t="s">
        <v>88</v>
      </c>
      <c r="K224" s="92">
        <v>1</v>
      </c>
      <c r="L224" s="93" t="s">
        <v>52</v>
      </c>
      <c r="M224" s="138">
        <v>0</v>
      </c>
      <c r="N224" s="138">
        <v>3</v>
      </c>
      <c r="O224" s="138">
        <v>13.333333333333334</v>
      </c>
      <c r="P224" s="94">
        <v>87</v>
      </c>
      <c r="Q224" s="95">
        <v>87</v>
      </c>
      <c r="R224" s="96">
        <f>P224-Q224</f>
        <v>0</v>
      </c>
      <c r="S224" s="97">
        <v>347.75</v>
      </c>
      <c r="T224" s="98">
        <f t="shared" si="54"/>
        <v>0</v>
      </c>
      <c r="U224" s="99">
        <v>0</v>
      </c>
      <c r="V224" s="100">
        <f t="shared" si="55"/>
        <v>0</v>
      </c>
      <c r="W224" s="101"/>
      <c r="X224" s="102"/>
      <c r="Y224" s="103"/>
      <c r="Z224" s="103"/>
      <c r="AA224" s="99">
        <v>0</v>
      </c>
      <c r="AB224" s="100">
        <f t="shared" si="56"/>
        <v>0</v>
      </c>
      <c r="AC224" s="104"/>
      <c r="AD224" s="105"/>
      <c r="AE224" s="105"/>
      <c r="AF224" s="105"/>
      <c r="AG224" s="99">
        <v>0</v>
      </c>
      <c r="AH224" s="100">
        <f t="shared" si="57"/>
        <v>0</v>
      </c>
      <c r="AI224" s="106"/>
      <c r="AJ224" s="107"/>
      <c r="AK224" s="107"/>
      <c r="AL224" s="107"/>
      <c r="AM224" s="99">
        <v>0</v>
      </c>
      <c r="AN224" s="100">
        <f t="shared" si="58"/>
        <v>0</v>
      </c>
      <c r="AO224" s="108">
        <f t="shared" si="59"/>
        <v>0</v>
      </c>
      <c r="AP224" s="308">
        <f t="shared" si="60"/>
        <v>0</v>
      </c>
      <c r="AQ224" s="3"/>
      <c r="AR224" s="3"/>
      <c r="AS224" s="3"/>
      <c r="AT224" s="3"/>
      <c r="AU224" s="3"/>
      <c r="AV224" s="3"/>
      <c r="AW224" s="3"/>
      <c r="AX224" s="3"/>
    </row>
    <row r="225" spans="1:50" ht="20.45" customHeight="1">
      <c r="A225" s="85" t="s">
        <v>798</v>
      </c>
      <c r="B225" s="86">
        <v>176</v>
      </c>
      <c r="C225" s="87" t="s">
        <v>799</v>
      </c>
      <c r="D225" s="146">
        <v>247079</v>
      </c>
      <c r="E225" s="146"/>
      <c r="F225" s="89" t="s">
        <v>800</v>
      </c>
      <c r="G225" s="109" t="s">
        <v>801</v>
      </c>
      <c r="H225" s="109" t="s">
        <v>110</v>
      </c>
      <c r="I225" s="91">
        <v>1</v>
      </c>
      <c r="J225" s="93" t="s">
        <v>476</v>
      </c>
      <c r="K225" s="93">
        <v>1000</v>
      </c>
      <c r="L225" s="93" t="s">
        <v>477</v>
      </c>
      <c r="M225" s="116">
        <f>19*12/10</f>
        <v>22.8</v>
      </c>
      <c r="N225" s="116">
        <f>29/9*12</f>
        <v>38.666666666666671</v>
      </c>
      <c r="O225" s="116">
        <v>26</v>
      </c>
      <c r="P225" s="94">
        <v>0</v>
      </c>
      <c r="Q225" s="95">
        <v>0</v>
      </c>
      <c r="R225" s="96">
        <f>P225-Q225</f>
        <v>0</v>
      </c>
      <c r="S225" s="160">
        <v>100</v>
      </c>
      <c r="T225" s="98">
        <f t="shared" si="54"/>
        <v>0</v>
      </c>
      <c r="U225" s="148">
        <v>0</v>
      </c>
      <c r="V225" s="100">
        <f t="shared" si="55"/>
        <v>0</v>
      </c>
      <c r="W225" s="101"/>
      <c r="X225" s="102"/>
      <c r="Y225" s="103"/>
      <c r="Z225" s="103"/>
      <c r="AA225" s="148">
        <v>0</v>
      </c>
      <c r="AB225" s="100">
        <f t="shared" si="56"/>
        <v>0</v>
      </c>
      <c r="AC225" s="104"/>
      <c r="AD225" s="105"/>
      <c r="AE225" s="105"/>
      <c r="AF225" s="105"/>
      <c r="AG225" s="99">
        <v>0</v>
      </c>
      <c r="AH225" s="100">
        <f t="shared" si="57"/>
        <v>0</v>
      </c>
      <c r="AI225" s="106"/>
      <c r="AJ225" s="107"/>
      <c r="AK225" s="107"/>
      <c r="AL225" s="107"/>
      <c r="AM225" s="99">
        <v>0</v>
      </c>
      <c r="AN225" s="100">
        <f t="shared" si="58"/>
        <v>0</v>
      </c>
      <c r="AO225" s="108">
        <f t="shared" si="59"/>
        <v>0</v>
      </c>
      <c r="AP225" s="308">
        <f t="shared" si="60"/>
        <v>0</v>
      </c>
    </row>
    <row r="226" spans="1:50" ht="20.45" customHeight="1">
      <c r="A226" s="85" t="s">
        <v>806</v>
      </c>
      <c r="B226" s="86">
        <v>178</v>
      </c>
      <c r="C226" s="87" t="s">
        <v>807</v>
      </c>
      <c r="D226" s="88">
        <v>746492</v>
      </c>
      <c r="E226" s="88"/>
      <c r="F226" s="89" t="s">
        <v>808</v>
      </c>
      <c r="G226" s="109" t="s">
        <v>809</v>
      </c>
      <c r="H226" s="109"/>
      <c r="I226" s="91">
        <v>1</v>
      </c>
      <c r="J226" s="92" t="s">
        <v>83</v>
      </c>
      <c r="K226" s="93">
        <v>1000</v>
      </c>
      <c r="L226" s="93" t="s">
        <v>84</v>
      </c>
      <c r="M226" s="116">
        <f>6.5/10*12</f>
        <v>7.8000000000000007</v>
      </c>
      <c r="N226" s="116">
        <f>4.5/9*12</f>
        <v>6</v>
      </c>
      <c r="O226" s="116">
        <v>5.333333333333333</v>
      </c>
      <c r="P226" s="94">
        <v>5</v>
      </c>
      <c r="Q226" s="95">
        <v>5</v>
      </c>
      <c r="R226" s="132">
        <v>5</v>
      </c>
      <c r="S226" s="97">
        <v>810</v>
      </c>
      <c r="T226" s="98">
        <f t="shared" si="54"/>
        <v>4050</v>
      </c>
      <c r="U226" s="99">
        <v>0</v>
      </c>
      <c r="V226" s="100">
        <f t="shared" si="55"/>
        <v>0</v>
      </c>
      <c r="W226" s="101"/>
      <c r="X226" s="102"/>
      <c r="Y226" s="103"/>
      <c r="Z226" s="103">
        <f>Y226*W226</f>
        <v>0</v>
      </c>
      <c r="AA226" s="99">
        <v>0</v>
      </c>
      <c r="AB226" s="100">
        <f t="shared" si="56"/>
        <v>0</v>
      </c>
      <c r="AC226" s="104"/>
      <c r="AD226" s="105"/>
      <c r="AE226" s="105"/>
      <c r="AF226" s="105"/>
      <c r="AG226" s="99">
        <v>0</v>
      </c>
      <c r="AH226" s="100">
        <f t="shared" si="57"/>
        <v>0</v>
      </c>
      <c r="AI226" s="106"/>
      <c r="AJ226" s="107"/>
      <c r="AK226" s="107"/>
      <c r="AL226" s="107">
        <f t="shared" ref="AL226:AL231" si="62">AK226*AI226</f>
        <v>0</v>
      </c>
      <c r="AM226" s="99">
        <v>5</v>
      </c>
      <c r="AN226" s="100">
        <f t="shared" si="58"/>
        <v>4050</v>
      </c>
      <c r="AO226" s="108">
        <f t="shared" si="59"/>
        <v>5</v>
      </c>
      <c r="AP226" s="308">
        <f t="shared" si="60"/>
        <v>0</v>
      </c>
    </row>
    <row r="227" spans="1:50" ht="20.45" customHeight="1">
      <c r="A227" s="85" t="s">
        <v>810</v>
      </c>
      <c r="B227" s="86">
        <v>179</v>
      </c>
      <c r="C227" s="87">
        <v>988158</v>
      </c>
      <c r="D227" s="88">
        <v>988136</v>
      </c>
      <c r="E227" s="88"/>
      <c r="F227" s="89" t="s">
        <v>811</v>
      </c>
      <c r="G227" s="109" t="s">
        <v>812</v>
      </c>
      <c r="H227" s="109"/>
      <c r="I227" s="91">
        <v>1</v>
      </c>
      <c r="J227" s="92" t="s">
        <v>88</v>
      </c>
      <c r="K227" s="93">
        <v>1</v>
      </c>
      <c r="L227" s="93" t="s">
        <v>73</v>
      </c>
      <c r="M227" s="116">
        <f>958*12/10</f>
        <v>1149.5999999999999</v>
      </c>
      <c r="N227" s="116">
        <f>1451/9*12</f>
        <v>1934.6666666666667</v>
      </c>
      <c r="O227" s="116">
        <v>1266.6666666666667</v>
      </c>
      <c r="P227" s="94">
        <v>1350</v>
      </c>
      <c r="Q227" s="95">
        <v>350</v>
      </c>
      <c r="R227" s="96">
        <f>P227-Q227</f>
        <v>1000</v>
      </c>
      <c r="S227" s="97">
        <v>8</v>
      </c>
      <c r="T227" s="98">
        <f t="shared" si="54"/>
        <v>8000</v>
      </c>
      <c r="U227" s="99">
        <v>500</v>
      </c>
      <c r="V227" s="100">
        <f t="shared" si="55"/>
        <v>4000</v>
      </c>
      <c r="W227" s="101">
        <v>500</v>
      </c>
      <c r="X227" s="102" t="s">
        <v>74</v>
      </c>
      <c r="Y227" s="103">
        <f>350/50</f>
        <v>7</v>
      </c>
      <c r="Z227" s="103">
        <f>Y227*W227</f>
        <v>3500</v>
      </c>
      <c r="AA227" s="99">
        <v>0</v>
      </c>
      <c r="AB227" s="100">
        <f t="shared" si="56"/>
        <v>0</v>
      </c>
      <c r="AC227" s="104"/>
      <c r="AD227" s="105"/>
      <c r="AE227" s="105"/>
      <c r="AF227" s="105"/>
      <c r="AG227" s="99">
        <v>500</v>
      </c>
      <c r="AH227" s="100">
        <f t="shared" si="57"/>
        <v>4000</v>
      </c>
      <c r="AI227" s="106">
        <v>500</v>
      </c>
      <c r="AJ227" s="107" t="s">
        <v>74</v>
      </c>
      <c r="AK227" s="107">
        <f>350/50</f>
        <v>7</v>
      </c>
      <c r="AL227" s="107">
        <f t="shared" si="62"/>
        <v>3500</v>
      </c>
      <c r="AM227" s="99">
        <v>0</v>
      </c>
      <c r="AN227" s="100">
        <f t="shared" si="58"/>
        <v>0</v>
      </c>
      <c r="AO227" s="108">
        <f t="shared" si="59"/>
        <v>1000</v>
      </c>
      <c r="AP227" s="308">
        <f t="shared" si="60"/>
        <v>7000</v>
      </c>
    </row>
    <row r="228" spans="1:50" s="121" customFormat="1" ht="20.45" customHeight="1">
      <c r="A228" s="85" t="s">
        <v>813</v>
      </c>
      <c r="B228" s="86">
        <v>180</v>
      </c>
      <c r="C228" s="87" t="s">
        <v>814</v>
      </c>
      <c r="D228" s="88">
        <v>778773</v>
      </c>
      <c r="E228" s="88"/>
      <c r="F228" s="89" t="s">
        <v>815</v>
      </c>
      <c r="G228" s="109" t="s">
        <v>816</v>
      </c>
      <c r="H228" s="109"/>
      <c r="I228" s="91">
        <v>1</v>
      </c>
      <c r="J228" s="92" t="s">
        <v>83</v>
      </c>
      <c r="K228" s="93">
        <v>1000</v>
      </c>
      <c r="L228" s="93" t="s">
        <v>84</v>
      </c>
      <c r="M228" s="116">
        <f>34.5/10*12</f>
        <v>41.400000000000006</v>
      </c>
      <c r="N228" s="116">
        <f>33/9*12</f>
        <v>44</v>
      </c>
      <c r="O228" s="116">
        <v>35.333333333333336</v>
      </c>
      <c r="P228" s="94">
        <v>38</v>
      </c>
      <c r="Q228" s="95">
        <v>8</v>
      </c>
      <c r="R228" s="132">
        <v>40</v>
      </c>
      <c r="S228" s="97">
        <v>640</v>
      </c>
      <c r="T228" s="98">
        <f t="shared" si="54"/>
        <v>25600</v>
      </c>
      <c r="U228" s="99">
        <v>10</v>
      </c>
      <c r="V228" s="100">
        <f t="shared" si="55"/>
        <v>6400</v>
      </c>
      <c r="W228" s="101">
        <v>10</v>
      </c>
      <c r="X228" s="102" t="s">
        <v>478</v>
      </c>
      <c r="Y228" s="103">
        <v>640</v>
      </c>
      <c r="Z228" s="103">
        <f>Y228*W228</f>
        <v>6400</v>
      </c>
      <c r="AA228" s="99">
        <v>10</v>
      </c>
      <c r="AB228" s="100">
        <f t="shared" si="56"/>
        <v>6400</v>
      </c>
      <c r="AC228" s="104">
        <v>10</v>
      </c>
      <c r="AD228" s="105" t="s">
        <v>478</v>
      </c>
      <c r="AE228" s="105">
        <v>640</v>
      </c>
      <c r="AF228" s="105">
        <f>AE228*AC228</f>
        <v>6400</v>
      </c>
      <c r="AG228" s="99">
        <v>10</v>
      </c>
      <c r="AH228" s="100">
        <f t="shared" si="57"/>
        <v>6400</v>
      </c>
      <c r="AI228" s="106">
        <v>10</v>
      </c>
      <c r="AJ228" s="107" t="s">
        <v>478</v>
      </c>
      <c r="AK228" s="107">
        <v>640</v>
      </c>
      <c r="AL228" s="107">
        <f t="shared" si="62"/>
        <v>6400</v>
      </c>
      <c r="AM228" s="99">
        <v>10</v>
      </c>
      <c r="AN228" s="100">
        <f t="shared" si="58"/>
        <v>6400</v>
      </c>
      <c r="AO228" s="108">
        <f t="shared" si="59"/>
        <v>40</v>
      </c>
      <c r="AP228" s="308">
        <f t="shared" si="60"/>
        <v>19200</v>
      </c>
      <c r="AQ228" s="3"/>
      <c r="AR228" s="3"/>
      <c r="AS228" s="3"/>
      <c r="AT228" s="3"/>
      <c r="AU228" s="3"/>
      <c r="AV228" s="3"/>
      <c r="AW228" s="3"/>
      <c r="AX228" s="3"/>
    </row>
    <row r="229" spans="1:50" ht="20.45" customHeight="1">
      <c r="A229" s="85" t="s">
        <v>822</v>
      </c>
      <c r="B229" s="86">
        <v>182</v>
      </c>
      <c r="C229" s="87" t="s">
        <v>823</v>
      </c>
      <c r="D229" s="88">
        <v>359356</v>
      </c>
      <c r="E229" s="88"/>
      <c r="F229" s="89" t="s">
        <v>824</v>
      </c>
      <c r="G229" s="113" t="s">
        <v>825</v>
      </c>
      <c r="H229" s="113"/>
      <c r="I229" s="114">
        <v>1</v>
      </c>
      <c r="J229" s="118" t="s">
        <v>184</v>
      </c>
      <c r="K229" s="115">
        <v>100</v>
      </c>
      <c r="L229" s="115" t="s">
        <v>185</v>
      </c>
      <c r="M229" s="116">
        <f>150/10*12</f>
        <v>180</v>
      </c>
      <c r="N229" s="116">
        <f>144/9*12</f>
        <v>192</v>
      </c>
      <c r="O229" s="116">
        <v>238.66666666666666</v>
      </c>
      <c r="P229" s="94">
        <v>245</v>
      </c>
      <c r="Q229" s="95">
        <v>15</v>
      </c>
      <c r="R229" s="132">
        <v>240</v>
      </c>
      <c r="S229" s="100">
        <v>682.66</v>
      </c>
      <c r="T229" s="98">
        <f t="shared" si="54"/>
        <v>163838.39999999999</v>
      </c>
      <c r="U229" s="99">
        <v>60</v>
      </c>
      <c r="V229" s="100">
        <f t="shared" si="55"/>
        <v>40959.599999999999</v>
      </c>
      <c r="W229" s="101">
        <v>60</v>
      </c>
      <c r="X229" s="102" t="s">
        <v>826</v>
      </c>
      <c r="Y229" s="103">
        <v>682.66</v>
      </c>
      <c r="Z229" s="103">
        <f>Y229*W229</f>
        <v>40959.599999999999</v>
      </c>
      <c r="AA229" s="99">
        <v>60</v>
      </c>
      <c r="AB229" s="100">
        <f t="shared" si="56"/>
        <v>40959.599999999999</v>
      </c>
      <c r="AC229" s="104">
        <v>60</v>
      </c>
      <c r="AD229" s="105" t="s">
        <v>197</v>
      </c>
      <c r="AE229" s="105">
        <v>682.66</v>
      </c>
      <c r="AF229" s="105">
        <f>AE229*AC229</f>
        <v>40959.599999999999</v>
      </c>
      <c r="AG229" s="99">
        <v>60</v>
      </c>
      <c r="AH229" s="100">
        <f t="shared" si="57"/>
        <v>40959.599999999999</v>
      </c>
      <c r="AI229" s="106">
        <v>60</v>
      </c>
      <c r="AJ229" s="107" t="s">
        <v>197</v>
      </c>
      <c r="AK229" s="107">
        <v>682.66</v>
      </c>
      <c r="AL229" s="107">
        <f t="shared" si="62"/>
        <v>40959.599999999999</v>
      </c>
      <c r="AM229" s="99">
        <v>60</v>
      </c>
      <c r="AN229" s="100">
        <f t="shared" si="58"/>
        <v>40959.599999999999</v>
      </c>
      <c r="AO229" s="108">
        <f t="shared" si="59"/>
        <v>240</v>
      </c>
      <c r="AP229" s="308">
        <f t="shared" si="60"/>
        <v>122878.79999999999</v>
      </c>
    </row>
    <row r="230" spans="1:50" ht="20.45" customHeight="1">
      <c r="A230" s="85" t="s">
        <v>827</v>
      </c>
      <c r="B230" s="86">
        <v>183</v>
      </c>
      <c r="C230" s="87" t="s">
        <v>828</v>
      </c>
      <c r="D230" s="88">
        <v>359413</v>
      </c>
      <c r="E230" s="88"/>
      <c r="F230" s="89" t="s">
        <v>829</v>
      </c>
      <c r="G230" s="113" t="s">
        <v>830</v>
      </c>
      <c r="H230" s="113"/>
      <c r="I230" s="114">
        <v>1</v>
      </c>
      <c r="J230" s="118" t="s">
        <v>83</v>
      </c>
      <c r="K230" s="115">
        <v>100</v>
      </c>
      <c r="L230" s="115" t="s">
        <v>84</v>
      </c>
      <c r="M230" s="116">
        <v>69.599999999999994</v>
      </c>
      <c r="N230" s="116">
        <v>76</v>
      </c>
      <c r="O230" s="116">
        <v>42.666666666666664</v>
      </c>
      <c r="P230" s="94">
        <v>46</v>
      </c>
      <c r="Q230" s="95">
        <v>6</v>
      </c>
      <c r="R230" s="132">
        <v>80</v>
      </c>
      <c r="S230" s="97">
        <v>500</v>
      </c>
      <c r="T230" s="98">
        <v>24000</v>
      </c>
      <c r="U230" s="99">
        <v>20</v>
      </c>
      <c r="V230" s="100">
        <v>6000</v>
      </c>
      <c r="W230" s="101">
        <v>20</v>
      </c>
      <c r="X230" s="102" t="s">
        <v>637</v>
      </c>
      <c r="Y230" s="103">
        <v>465.45</v>
      </c>
      <c r="Z230" s="103">
        <v>9309</v>
      </c>
      <c r="AA230" s="99">
        <v>20</v>
      </c>
      <c r="AB230" s="100">
        <v>6000</v>
      </c>
      <c r="AC230" s="104">
        <v>20</v>
      </c>
      <c r="AD230" s="105" t="s">
        <v>831</v>
      </c>
      <c r="AE230" s="105">
        <v>465.45</v>
      </c>
      <c r="AF230" s="105">
        <v>9309</v>
      </c>
      <c r="AG230" s="99">
        <v>20</v>
      </c>
      <c r="AH230" s="100">
        <v>6000</v>
      </c>
      <c r="AI230" s="106"/>
      <c r="AJ230" s="107"/>
      <c r="AK230" s="107"/>
      <c r="AL230" s="107">
        <f t="shared" si="62"/>
        <v>0</v>
      </c>
      <c r="AM230" s="99">
        <v>20</v>
      </c>
      <c r="AN230" s="100">
        <v>6000</v>
      </c>
      <c r="AO230" s="108">
        <f t="shared" si="59"/>
        <v>80</v>
      </c>
      <c r="AP230" s="308">
        <f t="shared" si="60"/>
        <v>18618</v>
      </c>
    </row>
    <row r="231" spans="1:50" ht="20.45" customHeight="1">
      <c r="A231" s="85" t="s">
        <v>832</v>
      </c>
      <c r="B231" s="86">
        <v>184</v>
      </c>
      <c r="C231" s="87">
        <v>767947</v>
      </c>
      <c r="D231" s="88">
        <v>298101</v>
      </c>
      <c r="E231" s="88"/>
      <c r="F231" s="117" t="s">
        <v>833</v>
      </c>
      <c r="G231" s="113" t="s">
        <v>834</v>
      </c>
      <c r="H231" s="113" t="s">
        <v>305</v>
      </c>
      <c r="I231" s="114">
        <v>1</v>
      </c>
      <c r="J231" s="118" t="s">
        <v>83</v>
      </c>
      <c r="K231" s="115">
        <v>100</v>
      </c>
      <c r="L231" s="115" t="s">
        <v>84</v>
      </c>
      <c r="M231" s="116">
        <v>5</v>
      </c>
      <c r="N231" s="116">
        <f>12/9*12</f>
        <v>16</v>
      </c>
      <c r="O231" s="116">
        <v>2.6666666666666665</v>
      </c>
      <c r="P231" s="94">
        <v>5</v>
      </c>
      <c r="Q231" s="95">
        <v>5</v>
      </c>
      <c r="R231" s="96">
        <f>P231-Q231</f>
        <v>0</v>
      </c>
      <c r="S231" s="131">
        <v>800</v>
      </c>
      <c r="T231" s="98">
        <f t="shared" ref="T231:T262" si="63">S231*R231</f>
        <v>0</v>
      </c>
      <c r="U231" s="99">
        <v>0</v>
      </c>
      <c r="V231" s="100">
        <f t="shared" ref="V231:V249" si="64">U231*S231</f>
        <v>0</v>
      </c>
      <c r="W231" s="101"/>
      <c r="X231" s="102"/>
      <c r="Y231" s="103"/>
      <c r="Z231" s="103"/>
      <c r="AA231" s="99">
        <v>0</v>
      </c>
      <c r="AB231" s="100">
        <f t="shared" ref="AB231:AB262" si="65">AA231*S231</f>
        <v>0</v>
      </c>
      <c r="AC231" s="104">
        <v>3</v>
      </c>
      <c r="AD231" s="105" t="s">
        <v>110</v>
      </c>
      <c r="AE231" s="105">
        <v>599.20000000000005</v>
      </c>
      <c r="AF231" s="105">
        <f>AE231*AC231</f>
        <v>1797.6000000000001</v>
      </c>
      <c r="AG231" s="99">
        <v>0</v>
      </c>
      <c r="AH231" s="100">
        <f t="shared" ref="AH231:AH262" si="66">S231*AG231</f>
        <v>0</v>
      </c>
      <c r="AI231" s="106"/>
      <c r="AJ231" s="107"/>
      <c r="AK231" s="107"/>
      <c r="AL231" s="107">
        <f t="shared" si="62"/>
        <v>0</v>
      </c>
      <c r="AM231" s="99">
        <v>0</v>
      </c>
      <c r="AN231" s="100">
        <f t="shared" ref="AN231:AN262" si="67">S231*AM231</f>
        <v>0</v>
      </c>
      <c r="AO231" s="108">
        <f t="shared" si="59"/>
        <v>0</v>
      </c>
      <c r="AP231" s="308">
        <f t="shared" si="60"/>
        <v>1797.6000000000001</v>
      </c>
    </row>
    <row r="232" spans="1:50" ht="20.45" customHeight="1">
      <c r="A232" s="85" t="s">
        <v>839</v>
      </c>
      <c r="B232" s="86">
        <v>186</v>
      </c>
      <c r="C232" s="87" t="s">
        <v>840</v>
      </c>
      <c r="D232" s="88">
        <v>791454</v>
      </c>
      <c r="E232" s="88"/>
      <c r="F232" s="89" t="s">
        <v>841</v>
      </c>
      <c r="G232" s="109" t="s">
        <v>842</v>
      </c>
      <c r="H232" s="109"/>
      <c r="I232" s="91">
        <v>1</v>
      </c>
      <c r="J232" s="92" t="s">
        <v>843</v>
      </c>
      <c r="K232" s="93">
        <v>1</v>
      </c>
      <c r="L232" s="93" t="s">
        <v>267</v>
      </c>
      <c r="M232" s="116">
        <v>0</v>
      </c>
      <c r="N232" s="116">
        <v>5</v>
      </c>
      <c r="O232" s="116">
        <v>6.666666666666667</v>
      </c>
      <c r="P232" s="94">
        <v>10</v>
      </c>
      <c r="Q232" s="95">
        <v>0</v>
      </c>
      <c r="R232" s="96">
        <f>P232-Q232</f>
        <v>10</v>
      </c>
      <c r="S232" s="97">
        <v>85.6</v>
      </c>
      <c r="T232" s="98">
        <f t="shared" si="63"/>
        <v>856</v>
      </c>
      <c r="U232" s="99">
        <v>0</v>
      </c>
      <c r="V232" s="100">
        <f t="shared" si="64"/>
        <v>0</v>
      </c>
      <c r="W232" s="101"/>
      <c r="X232" s="102"/>
      <c r="Y232" s="103"/>
      <c r="Z232" s="103"/>
      <c r="AA232" s="99">
        <v>5</v>
      </c>
      <c r="AB232" s="100">
        <f t="shared" si="65"/>
        <v>428</v>
      </c>
      <c r="AC232" s="104">
        <v>5</v>
      </c>
      <c r="AD232" s="105" t="s">
        <v>844</v>
      </c>
      <c r="AE232" s="105">
        <f>428/5</f>
        <v>85.6</v>
      </c>
      <c r="AF232" s="105">
        <f>AE232*AC232</f>
        <v>428</v>
      </c>
      <c r="AG232" s="99">
        <v>0</v>
      </c>
      <c r="AH232" s="100">
        <f t="shared" si="66"/>
        <v>0</v>
      </c>
      <c r="AI232" s="106"/>
      <c r="AJ232" s="107"/>
      <c r="AK232" s="107"/>
      <c r="AL232" s="107"/>
      <c r="AM232" s="99">
        <v>5</v>
      </c>
      <c r="AN232" s="100">
        <f t="shared" si="67"/>
        <v>428</v>
      </c>
      <c r="AO232" s="108">
        <f t="shared" si="59"/>
        <v>10</v>
      </c>
      <c r="AP232" s="308">
        <f t="shared" si="60"/>
        <v>428</v>
      </c>
    </row>
    <row r="233" spans="1:50" ht="20.45" customHeight="1">
      <c r="A233" s="85" t="s">
        <v>845</v>
      </c>
      <c r="B233" s="86">
        <v>187</v>
      </c>
      <c r="C233" s="87">
        <v>565737</v>
      </c>
      <c r="D233" s="142">
        <v>764169</v>
      </c>
      <c r="E233" s="142"/>
      <c r="F233" s="89" t="s">
        <v>846</v>
      </c>
      <c r="G233" s="109" t="s">
        <v>847</v>
      </c>
      <c r="H233" s="109" t="s">
        <v>110</v>
      </c>
      <c r="I233" s="91">
        <v>1</v>
      </c>
      <c r="J233" s="92" t="s">
        <v>88</v>
      </c>
      <c r="K233" s="93">
        <v>1</v>
      </c>
      <c r="L233" s="93" t="s">
        <v>202</v>
      </c>
      <c r="M233" s="116">
        <f>434/10*12</f>
        <v>520.79999999999995</v>
      </c>
      <c r="N233" s="116">
        <f>378/9*12</f>
        <v>504</v>
      </c>
      <c r="O233" s="116">
        <v>536</v>
      </c>
      <c r="P233" s="94">
        <v>600</v>
      </c>
      <c r="Q233" s="95">
        <v>0</v>
      </c>
      <c r="R233" s="96">
        <f>P233-Q233</f>
        <v>600</v>
      </c>
      <c r="S233" s="97">
        <v>41.2</v>
      </c>
      <c r="T233" s="98">
        <f t="shared" si="63"/>
        <v>24720</v>
      </c>
      <c r="U233" s="99">
        <v>0</v>
      </c>
      <c r="V233" s="100">
        <f t="shared" si="64"/>
        <v>0</v>
      </c>
      <c r="W233" s="101"/>
      <c r="X233" s="102"/>
      <c r="Y233" s="103"/>
      <c r="Z233" s="103"/>
      <c r="AA233" s="99">
        <v>200</v>
      </c>
      <c r="AB233" s="100">
        <f t="shared" si="65"/>
        <v>8240</v>
      </c>
      <c r="AC233" s="104">
        <v>200</v>
      </c>
      <c r="AD233" s="105" t="s">
        <v>110</v>
      </c>
      <c r="AE233" s="105">
        <v>41.2</v>
      </c>
      <c r="AF233" s="105">
        <f>AE233*AC233</f>
        <v>8240</v>
      </c>
      <c r="AG233" s="99">
        <v>200</v>
      </c>
      <c r="AH233" s="100">
        <f t="shared" si="66"/>
        <v>8240</v>
      </c>
      <c r="AI233" s="106"/>
      <c r="AJ233" s="107"/>
      <c r="AK233" s="107"/>
      <c r="AL233" s="107"/>
      <c r="AM233" s="99">
        <v>200</v>
      </c>
      <c r="AN233" s="100">
        <f t="shared" si="67"/>
        <v>8240</v>
      </c>
      <c r="AO233" s="108">
        <f t="shared" si="59"/>
        <v>600</v>
      </c>
      <c r="AP233" s="308">
        <f t="shared" si="60"/>
        <v>8240</v>
      </c>
    </row>
    <row r="234" spans="1:50" ht="20.45" customHeight="1">
      <c r="A234" s="85" t="s">
        <v>848</v>
      </c>
      <c r="B234" s="86">
        <v>188</v>
      </c>
      <c r="C234" s="87" t="s">
        <v>849</v>
      </c>
      <c r="D234" s="142">
        <v>1105360</v>
      </c>
      <c r="E234" s="142"/>
      <c r="F234" s="89" t="s">
        <v>850</v>
      </c>
      <c r="G234" s="109" t="s">
        <v>851</v>
      </c>
      <c r="H234" s="109"/>
      <c r="I234" s="91">
        <v>1</v>
      </c>
      <c r="J234" s="92" t="s">
        <v>51</v>
      </c>
      <c r="K234" s="93">
        <v>1</v>
      </c>
      <c r="L234" s="93" t="s">
        <v>196</v>
      </c>
      <c r="M234" s="116">
        <v>0</v>
      </c>
      <c r="N234" s="116">
        <v>5</v>
      </c>
      <c r="O234" s="116">
        <v>0</v>
      </c>
      <c r="P234" s="94">
        <v>1</v>
      </c>
      <c r="Q234" s="95">
        <v>1</v>
      </c>
      <c r="R234" s="132">
        <v>3</v>
      </c>
      <c r="S234" s="97">
        <v>279</v>
      </c>
      <c r="T234" s="98">
        <f t="shared" si="63"/>
        <v>837</v>
      </c>
      <c r="U234" s="99">
        <v>0</v>
      </c>
      <c r="V234" s="100">
        <f t="shared" si="64"/>
        <v>0</v>
      </c>
      <c r="W234" s="101"/>
      <c r="X234" s="102"/>
      <c r="Y234" s="103"/>
      <c r="Z234" s="103"/>
      <c r="AA234" s="99">
        <v>0</v>
      </c>
      <c r="AB234" s="100">
        <f t="shared" si="65"/>
        <v>0</v>
      </c>
      <c r="AC234" s="104"/>
      <c r="AD234" s="105"/>
      <c r="AE234" s="105"/>
      <c r="AF234" s="105"/>
      <c r="AG234" s="99">
        <v>3</v>
      </c>
      <c r="AH234" s="100">
        <f t="shared" si="66"/>
        <v>837</v>
      </c>
      <c r="AI234" s="106"/>
      <c r="AJ234" s="107"/>
      <c r="AK234" s="107"/>
      <c r="AL234" s="107"/>
      <c r="AM234" s="99">
        <v>0</v>
      </c>
      <c r="AN234" s="100">
        <f t="shared" si="67"/>
        <v>0</v>
      </c>
      <c r="AO234" s="108">
        <f t="shared" si="59"/>
        <v>3</v>
      </c>
      <c r="AP234" s="308">
        <f t="shared" si="60"/>
        <v>0</v>
      </c>
    </row>
    <row r="235" spans="1:50" ht="20.45" customHeight="1">
      <c r="A235" s="85" t="s">
        <v>852</v>
      </c>
      <c r="B235" s="86">
        <v>189</v>
      </c>
      <c r="C235" s="87">
        <v>737962</v>
      </c>
      <c r="D235" s="88">
        <v>737943</v>
      </c>
      <c r="E235" s="88"/>
      <c r="F235" s="117" t="s">
        <v>853</v>
      </c>
      <c r="G235" s="109" t="s">
        <v>854</v>
      </c>
      <c r="H235" s="109"/>
      <c r="I235" s="91">
        <v>1</v>
      </c>
      <c r="J235" s="92" t="s">
        <v>184</v>
      </c>
      <c r="K235" s="93">
        <v>100</v>
      </c>
      <c r="L235" s="93" t="s">
        <v>185</v>
      </c>
      <c r="M235" s="116">
        <f>15/10*12</f>
        <v>18</v>
      </c>
      <c r="N235" s="116">
        <f>5/9*12</f>
        <v>6.666666666666667</v>
      </c>
      <c r="O235" s="116">
        <v>6.666666666666667</v>
      </c>
      <c r="P235" s="94">
        <v>5</v>
      </c>
      <c r="Q235" s="95">
        <v>0</v>
      </c>
      <c r="R235" s="132">
        <v>10</v>
      </c>
      <c r="S235" s="97">
        <f>1400/5</f>
        <v>280</v>
      </c>
      <c r="T235" s="98">
        <f t="shared" si="63"/>
        <v>2800</v>
      </c>
      <c r="U235" s="99">
        <v>0</v>
      </c>
      <c r="V235" s="100">
        <f t="shared" si="64"/>
        <v>0</v>
      </c>
      <c r="W235" s="101"/>
      <c r="X235" s="102"/>
      <c r="Y235" s="103"/>
      <c r="Z235" s="103"/>
      <c r="AA235" s="99">
        <v>0</v>
      </c>
      <c r="AB235" s="100">
        <f t="shared" si="65"/>
        <v>0</v>
      </c>
      <c r="AC235" s="104"/>
      <c r="AD235" s="105"/>
      <c r="AE235" s="105"/>
      <c r="AF235" s="105"/>
      <c r="AG235" s="99">
        <v>10</v>
      </c>
      <c r="AH235" s="100">
        <f t="shared" si="66"/>
        <v>2800</v>
      </c>
      <c r="AI235" s="106">
        <v>10</v>
      </c>
      <c r="AJ235" s="107" t="s">
        <v>632</v>
      </c>
      <c r="AK235" s="107">
        <f>1200/5</f>
        <v>240</v>
      </c>
      <c r="AL235" s="107">
        <f>AK235*AI235</f>
        <v>2400</v>
      </c>
      <c r="AM235" s="99">
        <v>0</v>
      </c>
      <c r="AN235" s="100">
        <f t="shared" si="67"/>
        <v>0</v>
      </c>
      <c r="AO235" s="108">
        <f t="shared" si="59"/>
        <v>10</v>
      </c>
      <c r="AP235" s="308">
        <f t="shared" si="60"/>
        <v>2400</v>
      </c>
    </row>
    <row r="236" spans="1:50" ht="20.45" customHeight="1">
      <c r="A236" s="85" t="s">
        <v>855</v>
      </c>
      <c r="B236" s="86">
        <v>190</v>
      </c>
      <c r="C236" s="87" t="s">
        <v>856</v>
      </c>
      <c r="D236" s="88">
        <v>264650</v>
      </c>
      <c r="E236" s="88"/>
      <c r="F236" s="89" t="s">
        <v>857</v>
      </c>
      <c r="G236" s="109" t="s">
        <v>858</v>
      </c>
      <c r="H236" s="109"/>
      <c r="I236" s="91">
        <v>1</v>
      </c>
      <c r="J236" s="92" t="s">
        <v>184</v>
      </c>
      <c r="K236" s="93">
        <v>100</v>
      </c>
      <c r="L236" s="93" t="s">
        <v>185</v>
      </c>
      <c r="M236" s="116">
        <f>20*12/10</f>
        <v>24</v>
      </c>
      <c r="N236" s="116">
        <v>0</v>
      </c>
      <c r="O236" s="116">
        <v>6.666666666666667</v>
      </c>
      <c r="P236" s="94">
        <v>7</v>
      </c>
      <c r="Q236" s="95">
        <v>3</v>
      </c>
      <c r="R236" s="96">
        <f>P236-Q236</f>
        <v>4</v>
      </c>
      <c r="S236" s="97">
        <v>215</v>
      </c>
      <c r="T236" s="98">
        <f t="shared" si="63"/>
        <v>860</v>
      </c>
      <c r="U236" s="99">
        <v>4</v>
      </c>
      <c r="V236" s="100">
        <f t="shared" si="64"/>
        <v>860</v>
      </c>
      <c r="W236" s="101">
        <v>4</v>
      </c>
      <c r="X236" s="102" t="s">
        <v>232</v>
      </c>
      <c r="Y236" s="103">
        <v>38</v>
      </c>
      <c r="Z236" s="103">
        <f t="shared" ref="Z236:Z242" si="68">Y236*W236</f>
        <v>152</v>
      </c>
      <c r="AA236" s="99"/>
      <c r="AB236" s="100">
        <f t="shared" si="65"/>
        <v>0</v>
      </c>
      <c r="AC236" s="104"/>
      <c r="AD236" s="105"/>
      <c r="AE236" s="105"/>
      <c r="AF236" s="105"/>
      <c r="AG236" s="99">
        <v>0</v>
      </c>
      <c r="AH236" s="100">
        <f t="shared" si="66"/>
        <v>0</v>
      </c>
      <c r="AI236" s="106"/>
      <c r="AJ236" s="107"/>
      <c r="AK236" s="107"/>
      <c r="AL236" s="107"/>
      <c r="AM236" s="99"/>
      <c r="AN236" s="100">
        <f t="shared" si="67"/>
        <v>0</v>
      </c>
      <c r="AO236" s="108">
        <f t="shared" si="59"/>
        <v>4</v>
      </c>
      <c r="AP236" s="308">
        <f t="shared" si="60"/>
        <v>152</v>
      </c>
    </row>
    <row r="237" spans="1:50" ht="20.45" customHeight="1">
      <c r="A237" s="85" t="s">
        <v>862</v>
      </c>
      <c r="B237" s="86">
        <v>192</v>
      </c>
      <c r="C237" s="87" t="s">
        <v>863</v>
      </c>
      <c r="D237" s="88">
        <v>246709</v>
      </c>
      <c r="E237" s="88"/>
      <c r="F237" s="89" t="s">
        <v>864</v>
      </c>
      <c r="G237" s="109" t="s">
        <v>865</v>
      </c>
      <c r="H237" s="109"/>
      <c r="I237" s="91">
        <v>1</v>
      </c>
      <c r="J237" s="92" t="s">
        <v>83</v>
      </c>
      <c r="K237" s="93">
        <v>1000</v>
      </c>
      <c r="L237" s="93" t="s">
        <v>84</v>
      </c>
      <c r="M237" s="116">
        <f>89.55/10*12</f>
        <v>107.46000000000001</v>
      </c>
      <c r="N237" s="116">
        <f>70.9/9*12</f>
        <v>94.533333333333331</v>
      </c>
      <c r="O237" s="116">
        <v>88</v>
      </c>
      <c r="P237" s="94">
        <v>89</v>
      </c>
      <c r="Q237" s="95">
        <v>9</v>
      </c>
      <c r="R237" s="96">
        <f>P237-Q237</f>
        <v>80</v>
      </c>
      <c r="S237" s="110">
        <v>180</v>
      </c>
      <c r="T237" s="98">
        <f t="shared" si="63"/>
        <v>14400</v>
      </c>
      <c r="U237" s="99">
        <v>20</v>
      </c>
      <c r="V237" s="100">
        <f t="shared" si="64"/>
        <v>3600</v>
      </c>
      <c r="W237" s="101">
        <v>20</v>
      </c>
      <c r="X237" s="102" t="s">
        <v>866</v>
      </c>
      <c r="Y237" s="103">
        <v>170</v>
      </c>
      <c r="Z237" s="103">
        <f t="shared" si="68"/>
        <v>3400</v>
      </c>
      <c r="AA237" s="99">
        <v>20</v>
      </c>
      <c r="AB237" s="100">
        <f t="shared" si="65"/>
        <v>3600</v>
      </c>
      <c r="AC237" s="104">
        <v>20</v>
      </c>
      <c r="AD237" s="105" t="s">
        <v>866</v>
      </c>
      <c r="AE237" s="105">
        <v>170</v>
      </c>
      <c r="AF237" s="105">
        <f t="shared" ref="AF237:AF242" si="69">AE237*AC237</f>
        <v>3400</v>
      </c>
      <c r="AG237" s="99">
        <v>20</v>
      </c>
      <c r="AH237" s="100">
        <f t="shared" si="66"/>
        <v>3600</v>
      </c>
      <c r="AI237" s="106">
        <v>20</v>
      </c>
      <c r="AJ237" s="107" t="s">
        <v>866</v>
      </c>
      <c r="AK237" s="107">
        <v>170</v>
      </c>
      <c r="AL237" s="107">
        <f t="shared" ref="AL237:AL247" si="70">AK237*AI237</f>
        <v>3400</v>
      </c>
      <c r="AM237" s="99">
        <v>20</v>
      </c>
      <c r="AN237" s="100">
        <f t="shared" si="67"/>
        <v>3600</v>
      </c>
      <c r="AO237" s="108">
        <f t="shared" si="59"/>
        <v>80</v>
      </c>
      <c r="AP237" s="308">
        <f t="shared" si="60"/>
        <v>10200</v>
      </c>
    </row>
    <row r="238" spans="1:50" ht="20.45" customHeight="1">
      <c r="A238" s="85" t="s">
        <v>867</v>
      </c>
      <c r="B238" s="86">
        <v>193</v>
      </c>
      <c r="C238" s="87" t="s">
        <v>868</v>
      </c>
      <c r="D238" s="88">
        <v>246750</v>
      </c>
      <c r="E238" s="88"/>
      <c r="F238" s="89" t="s">
        <v>869</v>
      </c>
      <c r="G238" s="109" t="s">
        <v>870</v>
      </c>
      <c r="H238" s="109"/>
      <c r="I238" s="91">
        <v>1</v>
      </c>
      <c r="J238" s="92" t="s">
        <v>83</v>
      </c>
      <c r="K238" s="93">
        <v>1000</v>
      </c>
      <c r="L238" s="93" t="s">
        <v>84</v>
      </c>
      <c r="M238" s="116">
        <f>138/10*12</f>
        <v>165.60000000000002</v>
      </c>
      <c r="N238" s="116">
        <f>143/9*12</f>
        <v>190.66666666666669</v>
      </c>
      <c r="O238" s="116">
        <v>198.66666666666666</v>
      </c>
      <c r="P238" s="94">
        <v>199</v>
      </c>
      <c r="Q238" s="95">
        <v>9</v>
      </c>
      <c r="R238" s="112">
        <v>200</v>
      </c>
      <c r="S238" s="110">
        <v>280</v>
      </c>
      <c r="T238" s="98">
        <f t="shared" si="63"/>
        <v>56000</v>
      </c>
      <c r="U238" s="99">
        <v>50</v>
      </c>
      <c r="V238" s="100">
        <f t="shared" si="64"/>
        <v>14000</v>
      </c>
      <c r="W238" s="101">
        <v>50</v>
      </c>
      <c r="X238" s="102" t="s">
        <v>866</v>
      </c>
      <c r="Y238" s="103">
        <v>265</v>
      </c>
      <c r="Z238" s="103">
        <f t="shared" si="68"/>
        <v>13250</v>
      </c>
      <c r="AA238" s="99">
        <v>50</v>
      </c>
      <c r="AB238" s="100">
        <f t="shared" si="65"/>
        <v>14000</v>
      </c>
      <c r="AC238" s="104">
        <v>50</v>
      </c>
      <c r="AD238" s="105" t="s">
        <v>866</v>
      </c>
      <c r="AE238" s="105">
        <v>265</v>
      </c>
      <c r="AF238" s="105">
        <f t="shared" si="69"/>
        <v>13250</v>
      </c>
      <c r="AG238" s="99">
        <v>50</v>
      </c>
      <c r="AH238" s="100">
        <f t="shared" si="66"/>
        <v>14000</v>
      </c>
      <c r="AI238" s="106">
        <v>50</v>
      </c>
      <c r="AJ238" s="107" t="s">
        <v>866</v>
      </c>
      <c r="AK238" s="107">
        <v>265</v>
      </c>
      <c r="AL238" s="107">
        <f t="shared" si="70"/>
        <v>13250</v>
      </c>
      <c r="AM238" s="99">
        <v>50</v>
      </c>
      <c r="AN238" s="100">
        <f t="shared" si="67"/>
        <v>14000</v>
      </c>
      <c r="AO238" s="108">
        <f t="shared" si="59"/>
        <v>200</v>
      </c>
      <c r="AP238" s="308">
        <f t="shared" si="60"/>
        <v>39750</v>
      </c>
    </row>
    <row r="239" spans="1:50" ht="20.45" customHeight="1">
      <c r="A239" s="85" t="s">
        <v>875</v>
      </c>
      <c r="B239" s="86">
        <v>195</v>
      </c>
      <c r="C239" s="87" t="s">
        <v>876</v>
      </c>
      <c r="D239" s="88">
        <v>761208</v>
      </c>
      <c r="E239" s="88"/>
      <c r="F239" s="89" t="s">
        <v>877</v>
      </c>
      <c r="G239" s="109" t="s">
        <v>878</v>
      </c>
      <c r="H239" s="109"/>
      <c r="I239" s="91">
        <v>1</v>
      </c>
      <c r="J239" s="92" t="s">
        <v>88</v>
      </c>
      <c r="K239" s="93">
        <v>1</v>
      </c>
      <c r="L239" s="93" t="s">
        <v>73</v>
      </c>
      <c r="M239" s="116">
        <v>20</v>
      </c>
      <c r="N239" s="116">
        <v>8</v>
      </c>
      <c r="O239" s="116">
        <v>26.666666666666668</v>
      </c>
      <c r="P239" s="94">
        <v>20</v>
      </c>
      <c r="Q239" s="95">
        <v>0</v>
      </c>
      <c r="R239" s="96">
        <f>P239-Q239</f>
        <v>20</v>
      </c>
      <c r="S239" s="97">
        <v>10</v>
      </c>
      <c r="T239" s="98">
        <f t="shared" si="63"/>
        <v>200</v>
      </c>
      <c r="U239" s="99">
        <v>0</v>
      </c>
      <c r="V239" s="100">
        <f t="shared" si="64"/>
        <v>0</v>
      </c>
      <c r="W239" s="101">
        <v>0</v>
      </c>
      <c r="X239" s="102"/>
      <c r="Y239" s="103">
        <v>0</v>
      </c>
      <c r="Z239" s="103">
        <f t="shared" si="68"/>
        <v>0</v>
      </c>
      <c r="AA239" s="99">
        <v>10</v>
      </c>
      <c r="AB239" s="100">
        <f t="shared" si="65"/>
        <v>100</v>
      </c>
      <c r="AC239" s="104">
        <v>10</v>
      </c>
      <c r="AD239" s="105" t="s">
        <v>844</v>
      </c>
      <c r="AE239" s="105">
        <v>10</v>
      </c>
      <c r="AF239" s="105">
        <f t="shared" si="69"/>
        <v>100</v>
      </c>
      <c r="AG239" s="99">
        <v>0</v>
      </c>
      <c r="AH239" s="100">
        <f t="shared" si="66"/>
        <v>0</v>
      </c>
      <c r="AI239" s="106"/>
      <c r="AJ239" s="107"/>
      <c r="AK239" s="107"/>
      <c r="AL239" s="107">
        <f t="shared" si="70"/>
        <v>0</v>
      </c>
      <c r="AM239" s="99">
        <v>10</v>
      </c>
      <c r="AN239" s="100">
        <f t="shared" si="67"/>
        <v>100</v>
      </c>
      <c r="AO239" s="108">
        <f t="shared" si="59"/>
        <v>20</v>
      </c>
      <c r="AP239" s="308">
        <f t="shared" si="60"/>
        <v>100</v>
      </c>
    </row>
    <row r="240" spans="1:50" ht="20.45" customHeight="1">
      <c r="A240" s="85" t="s">
        <v>879</v>
      </c>
      <c r="B240" s="86">
        <v>196</v>
      </c>
      <c r="C240" s="87" t="s">
        <v>880</v>
      </c>
      <c r="D240" s="88">
        <v>736500</v>
      </c>
      <c r="E240" s="88"/>
      <c r="F240" s="89" t="s">
        <v>881</v>
      </c>
      <c r="G240" s="109" t="s">
        <v>882</v>
      </c>
      <c r="H240" s="109"/>
      <c r="I240" s="91">
        <v>1</v>
      </c>
      <c r="J240" s="92" t="s">
        <v>88</v>
      </c>
      <c r="K240" s="93">
        <v>1</v>
      </c>
      <c r="L240" s="93" t="s">
        <v>73</v>
      </c>
      <c r="M240" s="116">
        <f>1680/10*12</f>
        <v>2016</v>
      </c>
      <c r="N240" s="116">
        <f>1700/9*12</f>
        <v>2266.6666666666665</v>
      </c>
      <c r="O240" s="116">
        <v>2066.6666666666665</v>
      </c>
      <c r="P240" s="94">
        <v>2130</v>
      </c>
      <c r="Q240" s="133">
        <v>130</v>
      </c>
      <c r="R240" s="96">
        <f>P240-Q240</f>
        <v>2000</v>
      </c>
      <c r="S240" s="97">
        <v>10</v>
      </c>
      <c r="T240" s="98">
        <f t="shared" si="63"/>
        <v>20000</v>
      </c>
      <c r="U240" s="99">
        <v>500</v>
      </c>
      <c r="V240" s="100">
        <f t="shared" si="64"/>
        <v>5000</v>
      </c>
      <c r="W240" s="101">
        <v>500</v>
      </c>
      <c r="X240" s="102" t="s">
        <v>342</v>
      </c>
      <c r="Y240" s="103">
        <v>9</v>
      </c>
      <c r="Z240" s="103">
        <f t="shared" si="68"/>
        <v>4500</v>
      </c>
      <c r="AA240" s="99">
        <v>500</v>
      </c>
      <c r="AB240" s="100">
        <f t="shared" si="65"/>
        <v>5000</v>
      </c>
      <c r="AC240" s="104">
        <v>500</v>
      </c>
      <c r="AD240" s="105" t="s">
        <v>342</v>
      </c>
      <c r="AE240" s="105">
        <v>9</v>
      </c>
      <c r="AF240" s="105">
        <f t="shared" si="69"/>
        <v>4500</v>
      </c>
      <c r="AG240" s="99">
        <v>500</v>
      </c>
      <c r="AH240" s="100">
        <f t="shared" si="66"/>
        <v>5000</v>
      </c>
      <c r="AI240" s="106">
        <v>500</v>
      </c>
      <c r="AJ240" s="107" t="s">
        <v>342</v>
      </c>
      <c r="AK240" s="107">
        <v>9</v>
      </c>
      <c r="AL240" s="107">
        <f t="shared" si="70"/>
        <v>4500</v>
      </c>
      <c r="AM240" s="99">
        <v>500</v>
      </c>
      <c r="AN240" s="100">
        <f t="shared" si="67"/>
        <v>5000</v>
      </c>
      <c r="AO240" s="108">
        <f t="shared" si="59"/>
        <v>2000</v>
      </c>
      <c r="AP240" s="308">
        <f t="shared" si="60"/>
        <v>13500</v>
      </c>
    </row>
    <row r="241" spans="1:50" s="121" customFormat="1" ht="20.45" customHeight="1">
      <c r="A241" s="85" t="s">
        <v>883</v>
      </c>
      <c r="B241" s="86">
        <v>197</v>
      </c>
      <c r="C241" s="87" t="s">
        <v>884</v>
      </c>
      <c r="D241" s="88">
        <v>967197</v>
      </c>
      <c r="E241" s="88"/>
      <c r="F241" s="89" t="s">
        <v>885</v>
      </c>
      <c r="G241" s="109" t="s">
        <v>886</v>
      </c>
      <c r="H241" s="109"/>
      <c r="I241" s="91">
        <v>1</v>
      </c>
      <c r="J241" s="92" t="s">
        <v>88</v>
      </c>
      <c r="K241" s="93">
        <v>1</v>
      </c>
      <c r="L241" s="93" t="s">
        <v>202</v>
      </c>
      <c r="M241" s="116">
        <f>1392*12/10</f>
        <v>1670.4</v>
      </c>
      <c r="N241" s="116">
        <f>1318/9*12</f>
        <v>1757.3333333333335</v>
      </c>
      <c r="O241" s="116">
        <v>1432</v>
      </c>
      <c r="P241" s="94">
        <v>1500</v>
      </c>
      <c r="Q241" s="95">
        <v>0</v>
      </c>
      <c r="R241" s="96">
        <f>P241-Q241</f>
        <v>1500</v>
      </c>
      <c r="S241" s="97">
        <v>10.7</v>
      </c>
      <c r="T241" s="98">
        <f t="shared" si="63"/>
        <v>16049.999999999998</v>
      </c>
      <c r="U241" s="99">
        <v>400</v>
      </c>
      <c r="V241" s="100">
        <f t="shared" si="64"/>
        <v>4280</v>
      </c>
      <c r="W241" s="101">
        <v>400</v>
      </c>
      <c r="X241" s="102" t="s">
        <v>61</v>
      </c>
      <c r="Y241" s="103">
        <v>8.5</v>
      </c>
      <c r="Z241" s="103">
        <f t="shared" si="68"/>
        <v>3400</v>
      </c>
      <c r="AA241" s="99">
        <v>400</v>
      </c>
      <c r="AB241" s="100">
        <f t="shared" si="65"/>
        <v>4280</v>
      </c>
      <c r="AC241" s="104">
        <v>400</v>
      </c>
      <c r="AD241" s="105" t="s">
        <v>61</v>
      </c>
      <c r="AE241" s="105">
        <v>8.5</v>
      </c>
      <c r="AF241" s="105">
        <f t="shared" si="69"/>
        <v>3400</v>
      </c>
      <c r="AG241" s="99">
        <v>400</v>
      </c>
      <c r="AH241" s="100">
        <f t="shared" si="66"/>
        <v>4280</v>
      </c>
      <c r="AI241" s="106"/>
      <c r="AJ241" s="107"/>
      <c r="AK241" s="107"/>
      <c r="AL241" s="107">
        <f t="shared" si="70"/>
        <v>0</v>
      </c>
      <c r="AM241" s="99">
        <v>300</v>
      </c>
      <c r="AN241" s="100">
        <f t="shared" si="67"/>
        <v>3210</v>
      </c>
      <c r="AO241" s="108">
        <f t="shared" si="59"/>
        <v>1500</v>
      </c>
      <c r="AP241" s="308">
        <f t="shared" si="60"/>
        <v>6800</v>
      </c>
      <c r="AQ241" s="3"/>
      <c r="AR241" s="3"/>
      <c r="AS241" s="3"/>
      <c r="AT241" s="3"/>
      <c r="AU241" s="3"/>
      <c r="AV241" s="3"/>
      <c r="AW241" s="3"/>
      <c r="AX241" s="3"/>
    </row>
    <row r="242" spans="1:50" s="121" customFormat="1" ht="20.45" customHeight="1">
      <c r="A242" s="85" t="s">
        <v>895</v>
      </c>
      <c r="B242" s="86">
        <v>200</v>
      </c>
      <c r="C242" s="87" t="s">
        <v>896</v>
      </c>
      <c r="D242" s="88">
        <v>206568</v>
      </c>
      <c r="E242" s="88"/>
      <c r="F242" s="89" t="s">
        <v>897</v>
      </c>
      <c r="G242" s="113" t="s">
        <v>898</v>
      </c>
      <c r="H242" s="113"/>
      <c r="I242" s="114">
        <v>1</v>
      </c>
      <c r="J242" s="118" t="s">
        <v>83</v>
      </c>
      <c r="K242" s="115">
        <v>100</v>
      </c>
      <c r="L242" s="115" t="s">
        <v>84</v>
      </c>
      <c r="M242" s="116">
        <f>21/10*12</f>
        <v>25.200000000000003</v>
      </c>
      <c r="N242" s="116">
        <f>18/9*12</f>
        <v>24</v>
      </c>
      <c r="O242" s="116">
        <v>37.333333333333336</v>
      </c>
      <c r="P242" s="94">
        <v>36</v>
      </c>
      <c r="Q242" s="95">
        <v>6</v>
      </c>
      <c r="R242" s="96">
        <f>P242-Q242</f>
        <v>30</v>
      </c>
      <c r="S242" s="97">
        <v>591</v>
      </c>
      <c r="T242" s="98">
        <f t="shared" si="63"/>
        <v>17730</v>
      </c>
      <c r="U242" s="99">
        <v>10</v>
      </c>
      <c r="V242" s="100">
        <f t="shared" si="64"/>
        <v>5910</v>
      </c>
      <c r="W242" s="101">
        <f>2*10</f>
        <v>20</v>
      </c>
      <c r="X242" s="102" t="s">
        <v>74</v>
      </c>
      <c r="Y242" s="103">
        <v>219</v>
      </c>
      <c r="Z242" s="103">
        <f t="shared" si="68"/>
        <v>4380</v>
      </c>
      <c r="AA242" s="99">
        <v>10</v>
      </c>
      <c r="AB242" s="100">
        <f t="shared" si="65"/>
        <v>5910</v>
      </c>
      <c r="AC242" s="104">
        <v>10</v>
      </c>
      <c r="AD242" s="105" t="s">
        <v>74</v>
      </c>
      <c r="AE242" s="105">
        <v>219</v>
      </c>
      <c r="AF242" s="105">
        <f t="shared" si="69"/>
        <v>2190</v>
      </c>
      <c r="AG242" s="99">
        <v>10</v>
      </c>
      <c r="AH242" s="100">
        <f t="shared" si="66"/>
        <v>5910</v>
      </c>
      <c r="AI242" s="106">
        <v>10</v>
      </c>
      <c r="AJ242" s="107" t="s">
        <v>74</v>
      </c>
      <c r="AK242" s="107">
        <v>219</v>
      </c>
      <c r="AL242" s="107">
        <f t="shared" si="70"/>
        <v>2190</v>
      </c>
      <c r="AM242" s="99">
        <v>0</v>
      </c>
      <c r="AN242" s="100">
        <f t="shared" si="67"/>
        <v>0</v>
      </c>
      <c r="AO242" s="108">
        <f t="shared" si="59"/>
        <v>30</v>
      </c>
      <c r="AP242" s="308">
        <f t="shared" si="60"/>
        <v>8760</v>
      </c>
      <c r="AQ242" s="3"/>
      <c r="AR242" s="3"/>
      <c r="AS242" s="3"/>
      <c r="AT242" s="3"/>
      <c r="AU242" s="3"/>
      <c r="AV242" s="3"/>
      <c r="AW242" s="3"/>
      <c r="AX242" s="3"/>
    </row>
    <row r="243" spans="1:50" s="121" customFormat="1" ht="20.45" customHeight="1">
      <c r="A243" s="85" t="s">
        <v>903</v>
      </c>
      <c r="B243" s="86">
        <v>202</v>
      </c>
      <c r="C243" s="87" t="s">
        <v>904</v>
      </c>
      <c r="D243" s="88">
        <v>761323</v>
      </c>
      <c r="E243" s="88"/>
      <c r="F243" s="89" t="s">
        <v>905</v>
      </c>
      <c r="G243" s="109" t="s">
        <v>906</v>
      </c>
      <c r="H243" s="109"/>
      <c r="I243" s="91">
        <v>1</v>
      </c>
      <c r="J243" s="92" t="s">
        <v>88</v>
      </c>
      <c r="K243" s="93">
        <v>1</v>
      </c>
      <c r="L243" s="93" t="s">
        <v>73</v>
      </c>
      <c r="M243" s="116">
        <f>145/10*12</f>
        <v>174</v>
      </c>
      <c r="N243" s="116">
        <f>70/9*12</f>
        <v>93.333333333333329</v>
      </c>
      <c r="O243" s="116">
        <v>53.333333333333336</v>
      </c>
      <c r="P243" s="94">
        <v>150</v>
      </c>
      <c r="Q243" s="95">
        <v>150</v>
      </c>
      <c r="R243" s="112">
        <v>30</v>
      </c>
      <c r="S243" s="97">
        <v>17</v>
      </c>
      <c r="T243" s="98">
        <f t="shared" si="63"/>
        <v>510</v>
      </c>
      <c r="U243" s="99">
        <v>0</v>
      </c>
      <c r="V243" s="100">
        <f t="shared" si="64"/>
        <v>0</v>
      </c>
      <c r="W243" s="101"/>
      <c r="X243" s="102"/>
      <c r="Y243" s="103"/>
      <c r="Z243" s="103"/>
      <c r="AA243" s="99">
        <v>0</v>
      </c>
      <c r="AB243" s="100">
        <f t="shared" si="65"/>
        <v>0</v>
      </c>
      <c r="AC243" s="104"/>
      <c r="AD243" s="105"/>
      <c r="AE243" s="105"/>
      <c r="AF243" s="105"/>
      <c r="AG243" s="99">
        <v>30</v>
      </c>
      <c r="AH243" s="100">
        <f t="shared" si="66"/>
        <v>510</v>
      </c>
      <c r="AI243" s="106">
        <v>30</v>
      </c>
      <c r="AJ243" s="107" t="s">
        <v>110</v>
      </c>
      <c r="AK243" s="107">
        <v>10.23</v>
      </c>
      <c r="AL243" s="107">
        <f t="shared" si="70"/>
        <v>306.90000000000003</v>
      </c>
      <c r="AM243" s="99">
        <v>0</v>
      </c>
      <c r="AN243" s="100">
        <f t="shared" si="67"/>
        <v>0</v>
      </c>
      <c r="AO243" s="108">
        <f t="shared" si="59"/>
        <v>30</v>
      </c>
      <c r="AP243" s="308">
        <f t="shared" si="60"/>
        <v>306.90000000000003</v>
      </c>
      <c r="AQ243" s="3"/>
      <c r="AR243" s="3"/>
      <c r="AS243" s="3"/>
      <c r="AT243" s="3"/>
      <c r="AU243" s="3"/>
      <c r="AV243" s="3"/>
      <c r="AW243" s="3"/>
      <c r="AX243" s="3"/>
    </row>
    <row r="244" spans="1:50" ht="20.45" customHeight="1">
      <c r="A244" s="85" t="s">
        <v>907</v>
      </c>
      <c r="B244" s="86">
        <v>203</v>
      </c>
      <c r="C244" s="87">
        <v>779041</v>
      </c>
      <c r="D244" s="88">
        <v>431033</v>
      </c>
      <c r="E244" s="88"/>
      <c r="F244" s="117" t="s">
        <v>908</v>
      </c>
      <c r="G244" s="109" t="s">
        <v>909</v>
      </c>
      <c r="H244" s="109"/>
      <c r="I244" s="114">
        <v>1</v>
      </c>
      <c r="J244" s="118" t="s">
        <v>83</v>
      </c>
      <c r="K244" s="115">
        <v>100</v>
      </c>
      <c r="L244" s="115" t="s">
        <v>84</v>
      </c>
      <c r="M244" s="116">
        <f>228*12/10</f>
        <v>273.60000000000002</v>
      </c>
      <c r="N244" s="116">
        <f>202/9*12</f>
        <v>269.33333333333331</v>
      </c>
      <c r="O244" s="116">
        <v>440</v>
      </c>
      <c r="P244" s="94">
        <v>450</v>
      </c>
      <c r="Q244" s="95">
        <v>0</v>
      </c>
      <c r="R244" s="145">
        <v>438</v>
      </c>
      <c r="S244" s="97">
        <f>800/2</f>
        <v>400</v>
      </c>
      <c r="T244" s="98">
        <f t="shared" si="63"/>
        <v>175200</v>
      </c>
      <c r="U244" s="99">
        <v>140</v>
      </c>
      <c r="V244" s="100">
        <f t="shared" si="64"/>
        <v>56000</v>
      </c>
      <c r="W244" s="101">
        <v>140</v>
      </c>
      <c r="X244" s="102" t="s">
        <v>609</v>
      </c>
      <c r="Y244" s="103">
        <v>400</v>
      </c>
      <c r="Z244" s="103">
        <f>Y244*W244</f>
        <v>56000</v>
      </c>
      <c r="AA244" s="99">
        <v>98</v>
      </c>
      <c r="AB244" s="100">
        <f t="shared" si="65"/>
        <v>39200</v>
      </c>
      <c r="AC244" s="104">
        <f>90+8</f>
        <v>98</v>
      </c>
      <c r="AD244" s="105" t="s">
        <v>609</v>
      </c>
      <c r="AE244" s="105">
        <v>400</v>
      </c>
      <c r="AF244" s="105">
        <f>AE244*AC244</f>
        <v>39200</v>
      </c>
      <c r="AG244" s="99">
        <v>100</v>
      </c>
      <c r="AH244" s="100">
        <f t="shared" si="66"/>
        <v>40000</v>
      </c>
      <c r="AI244" s="106">
        <v>90</v>
      </c>
      <c r="AJ244" s="107" t="s">
        <v>609</v>
      </c>
      <c r="AK244" s="107">
        <v>400</v>
      </c>
      <c r="AL244" s="107">
        <f t="shared" si="70"/>
        <v>36000</v>
      </c>
      <c r="AM244" s="99">
        <v>100</v>
      </c>
      <c r="AN244" s="100">
        <f t="shared" si="67"/>
        <v>40000</v>
      </c>
      <c r="AO244" s="108">
        <f t="shared" si="59"/>
        <v>438</v>
      </c>
      <c r="AP244" s="308">
        <f t="shared" si="60"/>
        <v>131200</v>
      </c>
    </row>
    <row r="245" spans="1:50" ht="20.45" customHeight="1">
      <c r="A245" s="85" t="s">
        <v>910</v>
      </c>
      <c r="B245" s="86">
        <v>204</v>
      </c>
      <c r="C245" s="87" t="s">
        <v>911</v>
      </c>
      <c r="D245" s="88">
        <v>967197</v>
      </c>
      <c r="E245" s="88"/>
      <c r="F245" s="89" t="s">
        <v>912</v>
      </c>
      <c r="G245" s="109" t="s">
        <v>913</v>
      </c>
      <c r="H245" s="109" t="s">
        <v>110</v>
      </c>
      <c r="I245" s="91">
        <v>1</v>
      </c>
      <c r="J245" s="92" t="s">
        <v>88</v>
      </c>
      <c r="K245" s="93">
        <v>1</v>
      </c>
      <c r="L245" s="93" t="s">
        <v>73</v>
      </c>
      <c r="M245" s="116">
        <f>3822*12/10</f>
        <v>4586.3999999999996</v>
      </c>
      <c r="N245" s="116">
        <f>2938/9*12</f>
        <v>3917.3333333333335</v>
      </c>
      <c r="O245" s="116">
        <v>4260</v>
      </c>
      <c r="P245" s="94">
        <v>4330</v>
      </c>
      <c r="Q245" s="95">
        <v>330</v>
      </c>
      <c r="R245" s="112">
        <v>4500</v>
      </c>
      <c r="S245" s="97">
        <v>6.42</v>
      </c>
      <c r="T245" s="98">
        <f t="shared" si="63"/>
        <v>28890</v>
      </c>
      <c r="U245" s="99">
        <v>1000</v>
      </c>
      <c r="V245" s="100">
        <f t="shared" si="64"/>
        <v>6420</v>
      </c>
      <c r="W245" s="101">
        <v>1000</v>
      </c>
      <c r="X245" s="102" t="s">
        <v>110</v>
      </c>
      <c r="Y245" s="103">
        <f>321/50</f>
        <v>6.42</v>
      </c>
      <c r="Z245" s="103">
        <f>Y245*W245</f>
        <v>6420</v>
      </c>
      <c r="AA245" s="99">
        <v>1500</v>
      </c>
      <c r="AB245" s="100">
        <f t="shared" si="65"/>
        <v>9630</v>
      </c>
      <c r="AC245" s="104">
        <v>1500</v>
      </c>
      <c r="AD245" s="105" t="s">
        <v>89</v>
      </c>
      <c r="AE245" s="105">
        <v>6.42</v>
      </c>
      <c r="AF245" s="105">
        <f>3200+6420</f>
        <v>9620</v>
      </c>
      <c r="AG245" s="99">
        <v>1000</v>
      </c>
      <c r="AH245" s="100">
        <f t="shared" si="66"/>
        <v>6420</v>
      </c>
      <c r="AI245" s="106">
        <v>1000</v>
      </c>
      <c r="AJ245" s="107" t="s">
        <v>89</v>
      </c>
      <c r="AK245" s="107">
        <v>6.4</v>
      </c>
      <c r="AL245" s="107">
        <f t="shared" si="70"/>
        <v>6400</v>
      </c>
      <c r="AM245" s="99">
        <v>1000</v>
      </c>
      <c r="AN245" s="100">
        <f t="shared" si="67"/>
        <v>6420</v>
      </c>
      <c r="AO245" s="108">
        <f t="shared" si="59"/>
        <v>4500</v>
      </c>
      <c r="AP245" s="308">
        <f t="shared" si="60"/>
        <v>22440</v>
      </c>
    </row>
    <row r="246" spans="1:50" ht="20.45" customHeight="1">
      <c r="A246" s="85" t="s">
        <v>914</v>
      </c>
      <c r="B246" s="86">
        <v>205</v>
      </c>
      <c r="C246" s="87" t="s">
        <v>915</v>
      </c>
      <c r="D246" s="88">
        <v>321252</v>
      </c>
      <c r="E246" s="88"/>
      <c r="F246" s="89" t="s">
        <v>916</v>
      </c>
      <c r="G246" s="109" t="s">
        <v>917</v>
      </c>
      <c r="H246" s="109"/>
      <c r="I246" s="91">
        <v>1</v>
      </c>
      <c r="J246" s="92" t="s">
        <v>83</v>
      </c>
      <c r="K246" s="93">
        <v>1000</v>
      </c>
      <c r="L246" s="93" t="s">
        <v>84</v>
      </c>
      <c r="M246" s="116">
        <v>4</v>
      </c>
      <c r="N246" s="116">
        <v>0</v>
      </c>
      <c r="O246" s="116">
        <v>1.3333333333333333</v>
      </c>
      <c r="P246" s="94">
        <v>10</v>
      </c>
      <c r="Q246" s="95">
        <v>4</v>
      </c>
      <c r="R246" s="96">
        <f>P246-Q246</f>
        <v>6</v>
      </c>
      <c r="S246" s="97">
        <v>490</v>
      </c>
      <c r="T246" s="98">
        <f t="shared" si="63"/>
        <v>2940</v>
      </c>
      <c r="U246" s="99">
        <v>0</v>
      </c>
      <c r="V246" s="100">
        <f t="shared" si="64"/>
        <v>0</v>
      </c>
      <c r="W246" s="101"/>
      <c r="X246" s="102"/>
      <c r="Y246" s="103"/>
      <c r="Z246" s="103"/>
      <c r="AA246" s="99">
        <v>0</v>
      </c>
      <c r="AB246" s="100">
        <f t="shared" si="65"/>
        <v>0</v>
      </c>
      <c r="AC246" s="104"/>
      <c r="AD246" s="105"/>
      <c r="AE246" s="105"/>
      <c r="AF246" s="105"/>
      <c r="AG246" s="99">
        <v>6</v>
      </c>
      <c r="AH246" s="100">
        <f t="shared" si="66"/>
        <v>2940</v>
      </c>
      <c r="AI246" s="106"/>
      <c r="AJ246" s="107"/>
      <c r="AK246" s="107"/>
      <c r="AL246" s="107">
        <f t="shared" si="70"/>
        <v>0</v>
      </c>
      <c r="AM246" s="99">
        <v>0</v>
      </c>
      <c r="AN246" s="100">
        <f t="shared" si="67"/>
        <v>0</v>
      </c>
      <c r="AO246" s="108">
        <f t="shared" si="59"/>
        <v>6</v>
      </c>
      <c r="AP246" s="308">
        <f t="shared" si="60"/>
        <v>0</v>
      </c>
    </row>
    <row r="247" spans="1:50" ht="20.45" customHeight="1">
      <c r="A247" s="85" t="s">
        <v>922</v>
      </c>
      <c r="B247" s="86">
        <v>207</v>
      </c>
      <c r="C247" s="87" t="s">
        <v>923</v>
      </c>
      <c r="D247" s="88">
        <v>520626</v>
      </c>
      <c r="E247" s="88"/>
      <c r="F247" s="89" t="s">
        <v>924</v>
      </c>
      <c r="G247" s="109" t="s">
        <v>925</v>
      </c>
      <c r="H247" s="109"/>
      <c r="I247" s="91">
        <v>1</v>
      </c>
      <c r="J247" s="92" t="s">
        <v>88</v>
      </c>
      <c r="K247" s="93">
        <v>1</v>
      </c>
      <c r="L247" s="93" t="s">
        <v>202</v>
      </c>
      <c r="M247" s="116">
        <f>4080/10*12</f>
        <v>4896</v>
      </c>
      <c r="N247" s="116">
        <f>4700/9*12</f>
        <v>6266.6666666666661</v>
      </c>
      <c r="O247" s="116">
        <v>3200</v>
      </c>
      <c r="P247" s="94">
        <v>3200</v>
      </c>
      <c r="Q247" s="95">
        <v>1200</v>
      </c>
      <c r="R247" s="112">
        <v>2500</v>
      </c>
      <c r="S247" s="110">
        <v>15</v>
      </c>
      <c r="T247" s="98">
        <f t="shared" si="63"/>
        <v>37500</v>
      </c>
      <c r="U247" s="99">
        <v>500</v>
      </c>
      <c r="V247" s="100">
        <f t="shared" si="64"/>
        <v>7500</v>
      </c>
      <c r="W247" s="101">
        <v>500</v>
      </c>
      <c r="X247" s="102" t="s">
        <v>363</v>
      </c>
      <c r="Y247" s="103">
        <v>13.8</v>
      </c>
      <c r="Z247" s="103">
        <f>Y247*W247</f>
        <v>6900</v>
      </c>
      <c r="AA247" s="99">
        <v>1000</v>
      </c>
      <c r="AB247" s="100">
        <f t="shared" si="65"/>
        <v>15000</v>
      </c>
      <c r="AC247" s="104">
        <f>2*500</f>
        <v>1000</v>
      </c>
      <c r="AD247" s="105" t="s">
        <v>363</v>
      </c>
      <c r="AE247" s="105">
        <v>13.8</v>
      </c>
      <c r="AF247" s="105">
        <f>AE247*AC247</f>
        <v>13800</v>
      </c>
      <c r="AG247" s="99">
        <v>500</v>
      </c>
      <c r="AH247" s="100">
        <f t="shared" si="66"/>
        <v>7500</v>
      </c>
      <c r="AI247" s="106">
        <v>500</v>
      </c>
      <c r="AJ247" s="107" t="s">
        <v>117</v>
      </c>
      <c r="AK247" s="107">
        <v>15</v>
      </c>
      <c r="AL247" s="107">
        <f t="shared" si="70"/>
        <v>7500</v>
      </c>
      <c r="AM247" s="99">
        <v>500</v>
      </c>
      <c r="AN247" s="100">
        <f t="shared" si="67"/>
        <v>7500</v>
      </c>
      <c r="AO247" s="108">
        <f t="shared" si="59"/>
        <v>2500</v>
      </c>
      <c r="AP247" s="308">
        <f t="shared" si="60"/>
        <v>28200</v>
      </c>
    </row>
    <row r="248" spans="1:50" ht="20.45" customHeight="1">
      <c r="A248" s="85" t="s">
        <v>926</v>
      </c>
      <c r="B248" s="86">
        <v>208</v>
      </c>
      <c r="C248" s="87" t="s">
        <v>927</v>
      </c>
      <c r="D248" s="88">
        <v>520626</v>
      </c>
      <c r="E248" s="88"/>
      <c r="F248" s="89" t="s">
        <v>928</v>
      </c>
      <c r="G248" s="109" t="s">
        <v>929</v>
      </c>
      <c r="H248" s="109"/>
      <c r="I248" s="91">
        <v>1</v>
      </c>
      <c r="J248" s="92" t="s">
        <v>83</v>
      </c>
      <c r="K248" s="93">
        <v>1000</v>
      </c>
      <c r="L248" s="93" t="s">
        <v>84</v>
      </c>
      <c r="M248" s="116">
        <v>6</v>
      </c>
      <c r="N248" s="116">
        <f>5/9*12</f>
        <v>6.666666666666667</v>
      </c>
      <c r="O248" s="116">
        <v>6</v>
      </c>
      <c r="P248" s="94">
        <v>14</v>
      </c>
      <c r="Q248" s="95">
        <v>9</v>
      </c>
      <c r="R248" s="96">
        <f>P248-Q248</f>
        <v>5</v>
      </c>
      <c r="S248" s="131">
        <v>500</v>
      </c>
      <c r="T248" s="98">
        <f t="shared" si="63"/>
        <v>2500</v>
      </c>
      <c r="U248" s="99">
        <v>0</v>
      </c>
      <c r="V248" s="100">
        <f t="shared" si="64"/>
        <v>0</v>
      </c>
      <c r="W248" s="101"/>
      <c r="X248" s="102"/>
      <c r="Y248" s="103"/>
      <c r="Z248" s="103"/>
      <c r="AA248" s="99">
        <v>0</v>
      </c>
      <c r="AB248" s="100">
        <f t="shared" si="65"/>
        <v>0</v>
      </c>
      <c r="AC248" s="104"/>
      <c r="AD248" s="105"/>
      <c r="AE248" s="105"/>
      <c r="AF248" s="105">
        <f>AE248*AC248</f>
        <v>0</v>
      </c>
      <c r="AG248" s="99">
        <v>5</v>
      </c>
      <c r="AH248" s="100">
        <f t="shared" si="66"/>
        <v>2500</v>
      </c>
      <c r="AI248" s="106"/>
      <c r="AJ248" s="107"/>
      <c r="AK248" s="107"/>
      <c r="AL248" s="107"/>
      <c r="AM248" s="99">
        <v>0</v>
      </c>
      <c r="AN248" s="100">
        <f t="shared" si="67"/>
        <v>0</v>
      </c>
      <c r="AO248" s="108">
        <f t="shared" si="59"/>
        <v>5</v>
      </c>
      <c r="AP248" s="308">
        <f t="shared" si="60"/>
        <v>0</v>
      </c>
    </row>
    <row r="249" spans="1:50" ht="20.45" customHeight="1">
      <c r="A249" s="85" t="s">
        <v>930</v>
      </c>
      <c r="B249" s="86">
        <v>209</v>
      </c>
      <c r="C249" s="87" t="s">
        <v>931</v>
      </c>
      <c r="D249" s="161">
        <v>367516</v>
      </c>
      <c r="E249" s="161"/>
      <c r="F249" s="89" t="s">
        <v>932</v>
      </c>
      <c r="G249" s="119" t="s">
        <v>933</v>
      </c>
      <c r="H249" s="119"/>
      <c r="I249" s="162">
        <v>1</v>
      </c>
      <c r="J249" s="163" t="s">
        <v>83</v>
      </c>
      <c r="K249" s="164">
        <v>100</v>
      </c>
      <c r="L249" s="164" t="s">
        <v>84</v>
      </c>
      <c r="M249" s="165">
        <f>15/10*12</f>
        <v>18</v>
      </c>
      <c r="N249" s="165">
        <f>15/9*12</f>
        <v>20</v>
      </c>
      <c r="O249" s="165">
        <v>13.333333333333334</v>
      </c>
      <c r="P249" s="94">
        <v>13</v>
      </c>
      <c r="Q249" s="166">
        <v>3</v>
      </c>
      <c r="R249" s="112">
        <v>20</v>
      </c>
      <c r="S249" s="167">
        <v>201</v>
      </c>
      <c r="T249" s="98">
        <f t="shared" si="63"/>
        <v>4020</v>
      </c>
      <c r="U249" s="168">
        <v>10</v>
      </c>
      <c r="V249" s="100">
        <f t="shared" si="64"/>
        <v>2010</v>
      </c>
      <c r="W249" s="101">
        <v>10</v>
      </c>
      <c r="X249" s="102" t="s">
        <v>249</v>
      </c>
      <c r="Y249" s="103">
        <f>950/5</f>
        <v>190</v>
      </c>
      <c r="Z249" s="103">
        <f>Y249*W249</f>
        <v>1900</v>
      </c>
      <c r="AA249" s="168">
        <v>10</v>
      </c>
      <c r="AB249" s="100">
        <f t="shared" si="65"/>
        <v>2010</v>
      </c>
      <c r="AC249" s="104">
        <v>10</v>
      </c>
      <c r="AD249" s="105" t="s">
        <v>249</v>
      </c>
      <c r="AE249" s="105">
        <v>190</v>
      </c>
      <c r="AF249" s="105">
        <f>AE249*AC249</f>
        <v>1900</v>
      </c>
      <c r="AG249" s="168">
        <v>0</v>
      </c>
      <c r="AH249" s="100">
        <f t="shared" si="66"/>
        <v>0</v>
      </c>
      <c r="AI249" s="106"/>
      <c r="AJ249" s="107"/>
      <c r="AK249" s="107"/>
      <c r="AL249" s="107"/>
      <c r="AM249" s="168">
        <v>0</v>
      </c>
      <c r="AN249" s="100">
        <f t="shared" si="67"/>
        <v>0</v>
      </c>
      <c r="AO249" s="108">
        <f t="shared" si="59"/>
        <v>20</v>
      </c>
      <c r="AP249" s="308">
        <f t="shared" si="60"/>
        <v>3800</v>
      </c>
    </row>
    <row r="250" spans="1:50" s="121" customFormat="1" ht="20.45" customHeight="1">
      <c r="A250" s="85" t="s">
        <v>934</v>
      </c>
      <c r="B250" s="86">
        <v>210</v>
      </c>
      <c r="C250" s="87"/>
      <c r="D250" s="161"/>
      <c r="E250" s="161"/>
      <c r="F250" s="117" t="s">
        <v>935</v>
      </c>
      <c r="G250" s="119" t="s">
        <v>936</v>
      </c>
      <c r="H250" s="119"/>
      <c r="I250" s="162">
        <v>1</v>
      </c>
      <c r="J250" s="163" t="s">
        <v>88</v>
      </c>
      <c r="K250" s="164">
        <v>1</v>
      </c>
      <c r="L250" s="164" t="s">
        <v>73</v>
      </c>
      <c r="M250" s="165"/>
      <c r="N250" s="165"/>
      <c r="O250" s="165"/>
      <c r="P250" s="94"/>
      <c r="Q250" s="166"/>
      <c r="R250" s="112">
        <v>20</v>
      </c>
      <c r="S250" s="167">
        <v>15</v>
      </c>
      <c r="T250" s="98">
        <f t="shared" si="63"/>
        <v>300</v>
      </c>
      <c r="U250" s="168"/>
      <c r="V250" s="100"/>
      <c r="W250" s="101"/>
      <c r="X250" s="102"/>
      <c r="Y250" s="103"/>
      <c r="Z250" s="103"/>
      <c r="AA250" s="168">
        <v>20</v>
      </c>
      <c r="AB250" s="100">
        <f t="shared" si="65"/>
        <v>300</v>
      </c>
      <c r="AC250" s="104">
        <v>20</v>
      </c>
      <c r="AD250" s="105" t="s">
        <v>609</v>
      </c>
      <c r="AE250" s="105">
        <v>15</v>
      </c>
      <c r="AF250" s="105">
        <f>AE250*AC250</f>
        <v>300</v>
      </c>
      <c r="AG250" s="168">
        <v>0</v>
      </c>
      <c r="AH250" s="100">
        <f t="shared" si="66"/>
        <v>0</v>
      </c>
      <c r="AI250" s="106"/>
      <c r="AJ250" s="107"/>
      <c r="AK250" s="107"/>
      <c r="AL250" s="107"/>
      <c r="AM250" s="168">
        <v>0</v>
      </c>
      <c r="AN250" s="100">
        <f t="shared" si="67"/>
        <v>0</v>
      </c>
      <c r="AO250" s="108">
        <f t="shared" si="59"/>
        <v>20</v>
      </c>
      <c r="AP250" s="308">
        <f t="shared" si="60"/>
        <v>300</v>
      </c>
      <c r="AQ250" s="3"/>
      <c r="AR250" s="3"/>
      <c r="AS250" s="3"/>
      <c r="AT250" s="3"/>
      <c r="AU250" s="3"/>
      <c r="AV250" s="3"/>
      <c r="AW250" s="3"/>
      <c r="AX250" s="3"/>
    </row>
    <row r="251" spans="1:50" ht="20.45" customHeight="1">
      <c r="A251" s="85" t="s">
        <v>937</v>
      </c>
      <c r="B251" s="86">
        <v>211</v>
      </c>
      <c r="C251" s="87">
        <v>104190</v>
      </c>
      <c r="D251" s="88">
        <v>206654</v>
      </c>
      <c r="E251" s="88"/>
      <c r="F251" s="117" t="s">
        <v>938</v>
      </c>
      <c r="G251" s="109" t="s">
        <v>939</v>
      </c>
      <c r="H251" s="109"/>
      <c r="I251" s="91">
        <v>1</v>
      </c>
      <c r="J251" s="92" t="s">
        <v>83</v>
      </c>
      <c r="K251" s="93">
        <v>1</v>
      </c>
      <c r="L251" s="93" t="s">
        <v>84</v>
      </c>
      <c r="M251" s="116">
        <v>0</v>
      </c>
      <c r="N251" s="116">
        <v>0</v>
      </c>
      <c r="O251" s="116">
        <v>0</v>
      </c>
      <c r="P251" s="94">
        <v>10</v>
      </c>
      <c r="Q251" s="95">
        <v>10</v>
      </c>
      <c r="R251" s="96">
        <f>P251-Q251</f>
        <v>0</v>
      </c>
      <c r="S251" s="97">
        <v>8.8000000000000007</v>
      </c>
      <c r="T251" s="98">
        <f t="shared" si="63"/>
        <v>0</v>
      </c>
      <c r="U251" s="99">
        <v>0</v>
      </c>
      <c r="V251" s="100">
        <f t="shared" ref="V251:V282" si="71">U251*S251</f>
        <v>0</v>
      </c>
      <c r="W251" s="101"/>
      <c r="X251" s="102"/>
      <c r="Y251" s="103"/>
      <c r="Z251" s="103"/>
      <c r="AA251" s="99">
        <v>0</v>
      </c>
      <c r="AB251" s="100">
        <f t="shared" si="65"/>
        <v>0</v>
      </c>
      <c r="AC251" s="104"/>
      <c r="AD251" s="105"/>
      <c r="AE251" s="105"/>
      <c r="AF251" s="105"/>
      <c r="AG251" s="99">
        <v>0</v>
      </c>
      <c r="AH251" s="100">
        <f t="shared" si="66"/>
        <v>0</v>
      </c>
      <c r="AI251" s="106"/>
      <c r="AJ251" s="107"/>
      <c r="AK251" s="107"/>
      <c r="AL251" s="107"/>
      <c r="AM251" s="99">
        <v>0</v>
      </c>
      <c r="AN251" s="100">
        <f t="shared" si="67"/>
        <v>0</v>
      </c>
      <c r="AO251" s="108">
        <f t="shared" si="59"/>
        <v>0</v>
      </c>
      <c r="AP251" s="308">
        <f t="shared" si="60"/>
        <v>0</v>
      </c>
    </row>
    <row r="252" spans="1:50" ht="20.45" customHeight="1">
      <c r="A252" s="85" t="s">
        <v>949</v>
      </c>
      <c r="B252" s="86">
        <v>214</v>
      </c>
      <c r="C252" s="87">
        <v>1238938</v>
      </c>
      <c r="D252" s="88">
        <v>1140927</v>
      </c>
      <c r="E252" s="88"/>
      <c r="F252" s="117" t="s">
        <v>950</v>
      </c>
      <c r="G252" s="109" t="s">
        <v>951</v>
      </c>
      <c r="H252" s="109" t="s">
        <v>110</v>
      </c>
      <c r="I252" s="91">
        <v>1</v>
      </c>
      <c r="J252" s="92" t="s">
        <v>83</v>
      </c>
      <c r="K252" s="93">
        <v>40</v>
      </c>
      <c r="L252" s="93" t="s">
        <v>84</v>
      </c>
      <c r="M252" s="116">
        <f>45400/40*12/10</f>
        <v>1362</v>
      </c>
      <c r="N252" s="116">
        <v>626</v>
      </c>
      <c r="O252" s="116">
        <v>360</v>
      </c>
      <c r="P252" s="94">
        <v>400</v>
      </c>
      <c r="Q252" s="95">
        <v>0</v>
      </c>
      <c r="R252" s="145">
        <v>200</v>
      </c>
      <c r="S252" s="97">
        <v>480</v>
      </c>
      <c r="T252" s="98">
        <f t="shared" si="63"/>
        <v>96000</v>
      </c>
      <c r="U252" s="99">
        <v>0</v>
      </c>
      <c r="V252" s="100">
        <f t="shared" si="71"/>
        <v>0</v>
      </c>
      <c r="W252" s="101"/>
      <c r="X252" s="102"/>
      <c r="Y252" s="103"/>
      <c r="Z252" s="103"/>
      <c r="AA252" s="99">
        <v>0</v>
      </c>
      <c r="AB252" s="100">
        <f t="shared" si="65"/>
        <v>0</v>
      </c>
      <c r="AC252" s="104"/>
      <c r="AD252" s="105"/>
      <c r="AE252" s="105"/>
      <c r="AF252" s="105"/>
      <c r="AG252" s="99">
        <v>100</v>
      </c>
      <c r="AH252" s="100">
        <f t="shared" si="66"/>
        <v>48000</v>
      </c>
      <c r="AI252" s="106"/>
      <c r="AJ252" s="107"/>
      <c r="AK252" s="107"/>
      <c r="AL252" s="107">
        <f>AK252*AI252</f>
        <v>0</v>
      </c>
      <c r="AM252" s="99">
        <v>100</v>
      </c>
      <c r="AN252" s="100">
        <f t="shared" si="67"/>
        <v>48000</v>
      </c>
      <c r="AO252" s="108">
        <f t="shared" si="59"/>
        <v>200</v>
      </c>
      <c r="AP252" s="308">
        <f t="shared" si="60"/>
        <v>0</v>
      </c>
    </row>
    <row r="253" spans="1:50" ht="20.45" customHeight="1">
      <c r="A253" s="85" t="s">
        <v>952</v>
      </c>
      <c r="B253" s="86">
        <v>215</v>
      </c>
      <c r="C253" s="87" t="s">
        <v>953</v>
      </c>
      <c r="D253" s="88">
        <v>777305</v>
      </c>
      <c r="E253" s="88"/>
      <c r="F253" s="89" t="s">
        <v>954</v>
      </c>
      <c r="G253" s="109" t="s">
        <v>955</v>
      </c>
      <c r="H253" s="109" t="s">
        <v>110</v>
      </c>
      <c r="I253" s="91">
        <v>1</v>
      </c>
      <c r="J253" s="92" t="s">
        <v>752</v>
      </c>
      <c r="K253" s="93">
        <v>1</v>
      </c>
      <c r="L253" s="93" t="s">
        <v>196</v>
      </c>
      <c r="M253" s="116">
        <f>393*12/10</f>
        <v>471.6</v>
      </c>
      <c r="N253" s="116">
        <f>337/9*12</f>
        <v>449.33333333333331</v>
      </c>
      <c r="O253" s="116">
        <v>529.33333333333337</v>
      </c>
      <c r="P253" s="94">
        <v>300</v>
      </c>
      <c r="Q253" s="95">
        <v>0</v>
      </c>
      <c r="R253" s="145">
        <v>200</v>
      </c>
      <c r="S253" s="100">
        <v>10.17</v>
      </c>
      <c r="T253" s="98">
        <f t="shared" si="63"/>
        <v>2034</v>
      </c>
      <c r="U253" s="99">
        <v>0</v>
      </c>
      <c r="V253" s="100">
        <f t="shared" si="71"/>
        <v>0</v>
      </c>
      <c r="W253" s="101"/>
      <c r="X253" s="102"/>
      <c r="Y253" s="103"/>
      <c r="Z253" s="103"/>
      <c r="AA253" s="99">
        <v>0</v>
      </c>
      <c r="AB253" s="100">
        <f t="shared" si="65"/>
        <v>0</v>
      </c>
      <c r="AC253" s="104"/>
      <c r="AD253" s="105"/>
      <c r="AE253" s="105"/>
      <c r="AF253" s="105"/>
      <c r="AG253" s="99">
        <v>100</v>
      </c>
      <c r="AH253" s="100">
        <f t="shared" si="66"/>
        <v>1017</v>
      </c>
      <c r="AI253" s="106">
        <v>100</v>
      </c>
      <c r="AJ253" s="107" t="s">
        <v>110</v>
      </c>
      <c r="AK253" s="107">
        <v>10.17</v>
      </c>
      <c r="AL253" s="107">
        <f>AK253*AI253</f>
        <v>1017</v>
      </c>
      <c r="AM253" s="99">
        <v>100</v>
      </c>
      <c r="AN253" s="100">
        <f t="shared" si="67"/>
        <v>1017</v>
      </c>
      <c r="AO253" s="108">
        <f t="shared" si="59"/>
        <v>200</v>
      </c>
      <c r="AP253" s="308">
        <f t="shared" si="60"/>
        <v>1017</v>
      </c>
    </row>
    <row r="254" spans="1:50" ht="20.45" customHeight="1">
      <c r="A254" s="85" t="s">
        <v>956</v>
      </c>
      <c r="B254" s="86">
        <v>216</v>
      </c>
      <c r="C254" s="87" t="s">
        <v>957</v>
      </c>
      <c r="D254" s="88">
        <v>535907</v>
      </c>
      <c r="E254" s="88"/>
      <c r="F254" s="89" t="s">
        <v>958</v>
      </c>
      <c r="G254" s="109" t="s">
        <v>959</v>
      </c>
      <c r="H254" s="109"/>
      <c r="I254" s="91">
        <v>1</v>
      </c>
      <c r="J254" s="92" t="s">
        <v>88</v>
      </c>
      <c r="K254" s="93">
        <v>1</v>
      </c>
      <c r="L254" s="93" t="s">
        <v>73</v>
      </c>
      <c r="M254" s="116">
        <f>150*12/10</f>
        <v>180</v>
      </c>
      <c r="N254" s="116">
        <f>150/9*12</f>
        <v>200</v>
      </c>
      <c r="O254" s="116">
        <v>1253.3333333333333</v>
      </c>
      <c r="P254" s="94">
        <v>1250</v>
      </c>
      <c r="Q254" s="95">
        <v>1250</v>
      </c>
      <c r="R254" s="96">
        <f>P254-Q254</f>
        <v>0</v>
      </c>
      <c r="S254" s="97">
        <v>8</v>
      </c>
      <c r="T254" s="98">
        <f t="shared" si="63"/>
        <v>0</v>
      </c>
      <c r="U254" s="99">
        <v>0</v>
      </c>
      <c r="V254" s="100">
        <f t="shared" si="71"/>
        <v>0</v>
      </c>
      <c r="W254" s="101"/>
      <c r="X254" s="102"/>
      <c r="Y254" s="103"/>
      <c r="Z254" s="103"/>
      <c r="AA254" s="99">
        <v>0</v>
      </c>
      <c r="AB254" s="100">
        <f t="shared" si="65"/>
        <v>0</v>
      </c>
      <c r="AC254" s="104"/>
      <c r="AD254" s="105"/>
      <c r="AE254" s="105"/>
      <c r="AF254" s="105"/>
      <c r="AG254" s="99">
        <v>0</v>
      </c>
      <c r="AH254" s="100">
        <f t="shared" si="66"/>
        <v>0</v>
      </c>
      <c r="AI254" s="106"/>
      <c r="AJ254" s="107"/>
      <c r="AK254" s="107"/>
      <c r="AL254" s="107"/>
      <c r="AM254" s="99">
        <v>0</v>
      </c>
      <c r="AN254" s="100">
        <f t="shared" si="67"/>
        <v>0</v>
      </c>
      <c r="AO254" s="108">
        <f t="shared" si="59"/>
        <v>0</v>
      </c>
      <c r="AP254" s="308">
        <f t="shared" si="60"/>
        <v>0</v>
      </c>
    </row>
    <row r="255" spans="1:50" ht="20.45" customHeight="1">
      <c r="A255" s="85" t="s">
        <v>960</v>
      </c>
      <c r="B255" s="86">
        <v>217</v>
      </c>
      <c r="C255" s="87" t="s">
        <v>961</v>
      </c>
      <c r="D255" s="88">
        <v>535734</v>
      </c>
      <c r="E255" s="88"/>
      <c r="F255" s="89" t="s">
        <v>962</v>
      </c>
      <c r="G255" s="109" t="s">
        <v>963</v>
      </c>
      <c r="H255" s="109"/>
      <c r="I255" s="91">
        <v>1</v>
      </c>
      <c r="J255" s="92" t="s">
        <v>195</v>
      </c>
      <c r="K255" s="93">
        <v>1</v>
      </c>
      <c r="L255" s="93" t="s">
        <v>196</v>
      </c>
      <c r="M255" s="116">
        <f>100/10*12</f>
        <v>120</v>
      </c>
      <c r="N255" s="116">
        <f>100/9*12</f>
        <v>133.33333333333331</v>
      </c>
      <c r="O255" s="116">
        <v>160</v>
      </c>
      <c r="P255" s="94">
        <v>220</v>
      </c>
      <c r="Q255" s="95">
        <v>220</v>
      </c>
      <c r="R255" s="112">
        <v>300</v>
      </c>
      <c r="S255" s="97">
        <v>50</v>
      </c>
      <c r="T255" s="98">
        <f t="shared" si="63"/>
        <v>15000</v>
      </c>
      <c r="U255" s="99">
        <v>200</v>
      </c>
      <c r="V255" s="100">
        <f t="shared" si="71"/>
        <v>10000</v>
      </c>
      <c r="W255" s="101">
        <v>200</v>
      </c>
      <c r="X255" s="102" t="s">
        <v>609</v>
      </c>
      <c r="Y255" s="103">
        <v>50</v>
      </c>
      <c r="Z255" s="103">
        <f t="shared" ref="Z255:Z262" si="72">Y255*W255</f>
        <v>10000</v>
      </c>
      <c r="AA255" s="99">
        <v>0</v>
      </c>
      <c r="AB255" s="100">
        <f t="shared" si="65"/>
        <v>0</v>
      </c>
      <c r="AC255" s="104"/>
      <c r="AD255" s="105"/>
      <c r="AE255" s="105"/>
      <c r="AF255" s="105"/>
      <c r="AG255" s="99">
        <v>100</v>
      </c>
      <c r="AH255" s="100">
        <f t="shared" si="66"/>
        <v>5000</v>
      </c>
      <c r="AI255" s="106"/>
      <c r="AJ255" s="107"/>
      <c r="AK255" s="107"/>
      <c r="AL255" s="107"/>
      <c r="AM255" s="99">
        <v>0</v>
      </c>
      <c r="AN255" s="100">
        <f t="shared" si="67"/>
        <v>0</v>
      </c>
      <c r="AO255" s="108">
        <f t="shared" si="59"/>
        <v>300</v>
      </c>
      <c r="AP255" s="308">
        <f t="shared" si="60"/>
        <v>10000</v>
      </c>
    </row>
    <row r="256" spans="1:50" ht="20.45" customHeight="1">
      <c r="A256" s="85" t="s">
        <v>964</v>
      </c>
      <c r="B256" s="86">
        <v>218</v>
      </c>
      <c r="C256" s="87" t="s">
        <v>965</v>
      </c>
      <c r="D256" s="88">
        <v>670904</v>
      </c>
      <c r="E256" s="88"/>
      <c r="F256" s="89" t="s">
        <v>966</v>
      </c>
      <c r="G256" s="109" t="s">
        <v>967</v>
      </c>
      <c r="H256" s="109"/>
      <c r="I256" s="91">
        <v>1</v>
      </c>
      <c r="J256" s="92" t="s">
        <v>83</v>
      </c>
      <c r="K256" s="93">
        <v>10</v>
      </c>
      <c r="L256" s="93" t="s">
        <v>84</v>
      </c>
      <c r="M256" s="116">
        <f>240/10*12</f>
        <v>288</v>
      </c>
      <c r="N256" s="116">
        <f>66/9*12</f>
        <v>88</v>
      </c>
      <c r="O256" s="116">
        <v>196</v>
      </c>
      <c r="P256" s="94">
        <v>200</v>
      </c>
      <c r="Q256" s="95">
        <v>0</v>
      </c>
      <c r="R256" s="112">
        <v>580</v>
      </c>
      <c r="S256" s="97">
        <v>120</v>
      </c>
      <c r="T256" s="98">
        <f t="shared" si="63"/>
        <v>69600</v>
      </c>
      <c r="U256" s="99">
        <v>480</v>
      </c>
      <c r="V256" s="100">
        <f t="shared" si="71"/>
        <v>57600</v>
      </c>
      <c r="W256" s="101">
        <f>160*30/10</f>
        <v>480</v>
      </c>
      <c r="X256" s="102" t="s">
        <v>609</v>
      </c>
      <c r="Y256" s="103">
        <f>350/3</f>
        <v>116.66666666666667</v>
      </c>
      <c r="Z256" s="103">
        <f t="shared" si="72"/>
        <v>56000</v>
      </c>
      <c r="AA256" s="99">
        <v>0</v>
      </c>
      <c r="AB256" s="100">
        <f t="shared" si="65"/>
        <v>0</v>
      </c>
      <c r="AC256" s="104"/>
      <c r="AD256" s="105"/>
      <c r="AE256" s="105"/>
      <c r="AF256" s="105"/>
      <c r="AG256" s="99">
        <v>50</v>
      </c>
      <c r="AH256" s="100">
        <f t="shared" si="66"/>
        <v>6000</v>
      </c>
      <c r="AI256" s="106"/>
      <c r="AJ256" s="107"/>
      <c r="AK256" s="107"/>
      <c r="AL256" s="107"/>
      <c r="AM256" s="99">
        <v>50</v>
      </c>
      <c r="AN256" s="100">
        <f t="shared" si="67"/>
        <v>6000</v>
      </c>
      <c r="AO256" s="108">
        <f t="shared" si="59"/>
        <v>580</v>
      </c>
      <c r="AP256" s="308">
        <f t="shared" si="60"/>
        <v>56000</v>
      </c>
      <c r="AT256" s="121"/>
      <c r="AU256" s="121"/>
      <c r="AV256" s="121"/>
      <c r="AW256" s="121"/>
      <c r="AX256" s="121"/>
    </row>
    <row r="257" spans="1:50" ht="20.45" customHeight="1">
      <c r="A257" s="85" t="s">
        <v>968</v>
      </c>
      <c r="B257" s="86">
        <v>219</v>
      </c>
      <c r="C257" s="87"/>
      <c r="D257" s="88">
        <v>353238</v>
      </c>
      <c r="E257" s="88"/>
      <c r="F257" s="117" t="s">
        <v>969</v>
      </c>
      <c r="G257" s="109" t="s">
        <v>970</v>
      </c>
      <c r="H257" s="109"/>
      <c r="I257" s="91">
        <v>1</v>
      </c>
      <c r="J257" s="92" t="s">
        <v>184</v>
      </c>
      <c r="K257" s="93">
        <v>28</v>
      </c>
      <c r="L257" s="93" t="s">
        <v>185</v>
      </c>
      <c r="M257" s="116"/>
      <c r="N257" s="116"/>
      <c r="O257" s="116"/>
      <c r="P257" s="94"/>
      <c r="Q257" s="95"/>
      <c r="R257" s="112">
        <v>15</v>
      </c>
      <c r="S257" s="125">
        <v>770</v>
      </c>
      <c r="T257" s="98">
        <f t="shared" si="63"/>
        <v>11550</v>
      </c>
      <c r="U257" s="99">
        <v>0</v>
      </c>
      <c r="V257" s="100">
        <f t="shared" si="71"/>
        <v>0</v>
      </c>
      <c r="W257" s="101"/>
      <c r="X257" s="102"/>
      <c r="Y257" s="103"/>
      <c r="Z257" s="103">
        <f t="shared" si="72"/>
        <v>0</v>
      </c>
      <c r="AA257" s="99">
        <v>15</v>
      </c>
      <c r="AB257" s="100">
        <f t="shared" si="65"/>
        <v>11550</v>
      </c>
      <c r="AC257" s="104">
        <v>15</v>
      </c>
      <c r="AD257" s="105" t="s">
        <v>609</v>
      </c>
      <c r="AE257" s="105">
        <v>770</v>
      </c>
      <c r="AF257" s="105">
        <f>AE257*AC257</f>
        <v>11550</v>
      </c>
      <c r="AG257" s="99">
        <v>0</v>
      </c>
      <c r="AH257" s="100">
        <f t="shared" si="66"/>
        <v>0</v>
      </c>
      <c r="AI257" s="106"/>
      <c r="AJ257" s="107"/>
      <c r="AK257" s="107"/>
      <c r="AL257" s="107"/>
      <c r="AM257" s="99">
        <v>0</v>
      </c>
      <c r="AN257" s="100">
        <f t="shared" si="67"/>
        <v>0</v>
      </c>
      <c r="AO257" s="108">
        <f t="shared" si="59"/>
        <v>15</v>
      </c>
      <c r="AP257" s="308">
        <f t="shared" si="60"/>
        <v>11550</v>
      </c>
      <c r="AT257" s="121"/>
      <c r="AU257" s="121"/>
      <c r="AV257" s="121"/>
      <c r="AW257" s="121"/>
      <c r="AX257" s="121"/>
    </row>
    <row r="258" spans="1:50" ht="20.45" customHeight="1">
      <c r="A258" s="85" t="s">
        <v>971</v>
      </c>
      <c r="B258" s="86">
        <v>220</v>
      </c>
      <c r="C258" s="87" t="s">
        <v>972</v>
      </c>
      <c r="D258" s="88">
        <v>513546</v>
      </c>
      <c r="E258" s="88"/>
      <c r="F258" s="89" t="s">
        <v>973</v>
      </c>
      <c r="G258" s="109" t="s">
        <v>974</v>
      </c>
      <c r="H258" s="109"/>
      <c r="I258" s="91">
        <v>1</v>
      </c>
      <c r="J258" s="92" t="s">
        <v>975</v>
      </c>
      <c r="K258" s="93">
        <v>1</v>
      </c>
      <c r="L258" s="93" t="s">
        <v>267</v>
      </c>
      <c r="M258" s="116">
        <f>243/10*12</f>
        <v>291.60000000000002</v>
      </c>
      <c r="N258" s="116">
        <f>444/9*12</f>
        <v>592</v>
      </c>
      <c r="O258" s="116">
        <v>1104</v>
      </c>
      <c r="P258" s="94">
        <v>1200</v>
      </c>
      <c r="Q258" s="95">
        <v>0</v>
      </c>
      <c r="R258" s="145">
        <v>900</v>
      </c>
      <c r="S258" s="97">
        <v>36.090000000000003</v>
      </c>
      <c r="T258" s="98">
        <f t="shared" si="63"/>
        <v>32481.000000000004</v>
      </c>
      <c r="U258" s="99">
        <v>0</v>
      </c>
      <c r="V258" s="100">
        <f t="shared" si="71"/>
        <v>0</v>
      </c>
      <c r="W258" s="101"/>
      <c r="X258" s="102"/>
      <c r="Y258" s="103"/>
      <c r="Z258" s="103">
        <f t="shared" si="72"/>
        <v>0</v>
      </c>
      <c r="AA258" s="99">
        <v>300</v>
      </c>
      <c r="AB258" s="100">
        <f t="shared" si="65"/>
        <v>10827.000000000002</v>
      </c>
      <c r="AC258" s="104">
        <f>25*12</f>
        <v>300</v>
      </c>
      <c r="AD258" s="105" t="s">
        <v>232</v>
      </c>
      <c r="AE258" s="105">
        <f>219/12</f>
        <v>18.25</v>
      </c>
      <c r="AF258" s="105">
        <f>AE258*AC258</f>
        <v>5475</v>
      </c>
      <c r="AG258" s="99">
        <v>300</v>
      </c>
      <c r="AH258" s="100">
        <f t="shared" si="66"/>
        <v>10827.000000000002</v>
      </c>
      <c r="AI258" s="106"/>
      <c r="AJ258" s="107"/>
      <c r="AK258" s="107"/>
      <c r="AL258" s="107"/>
      <c r="AM258" s="99">
        <v>300</v>
      </c>
      <c r="AN258" s="100">
        <f t="shared" si="67"/>
        <v>10827.000000000002</v>
      </c>
      <c r="AO258" s="108">
        <f t="shared" si="59"/>
        <v>900</v>
      </c>
      <c r="AP258" s="308">
        <f t="shared" si="60"/>
        <v>5475</v>
      </c>
    </row>
    <row r="259" spans="1:50" ht="20.45" customHeight="1">
      <c r="A259" s="85" t="s">
        <v>976</v>
      </c>
      <c r="B259" s="86">
        <v>221</v>
      </c>
      <c r="C259" s="87" t="s">
        <v>977</v>
      </c>
      <c r="D259" s="88">
        <v>521000</v>
      </c>
      <c r="E259" s="88"/>
      <c r="F259" s="89" t="s">
        <v>978</v>
      </c>
      <c r="G259" s="109" t="s">
        <v>979</v>
      </c>
      <c r="H259" s="109"/>
      <c r="I259" s="91">
        <v>1</v>
      </c>
      <c r="J259" s="92" t="s">
        <v>88</v>
      </c>
      <c r="K259" s="93">
        <v>1</v>
      </c>
      <c r="L259" s="93" t="s">
        <v>73</v>
      </c>
      <c r="M259" s="116">
        <v>22</v>
      </c>
      <c r="N259" s="116">
        <v>8</v>
      </c>
      <c r="O259" s="116">
        <v>13.333333333333334</v>
      </c>
      <c r="P259" s="94">
        <v>20</v>
      </c>
      <c r="Q259" s="95">
        <v>0</v>
      </c>
      <c r="R259" s="96">
        <f>P259-Q259</f>
        <v>20</v>
      </c>
      <c r="S259" s="97">
        <v>203</v>
      </c>
      <c r="T259" s="98">
        <f t="shared" si="63"/>
        <v>4060</v>
      </c>
      <c r="U259" s="99">
        <v>10</v>
      </c>
      <c r="V259" s="100">
        <f t="shared" si="71"/>
        <v>2030</v>
      </c>
      <c r="W259" s="101">
        <v>10</v>
      </c>
      <c r="X259" s="102" t="s">
        <v>74</v>
      </c>
      <c r="Y259" s="103">
        <v>203</v>
      </c>
      <c r="Z259" s="103">
        <f t="shared" si="72"/>
        <v>2030</v>
      </c>
      <c r="AA259" s="99">
        <v>0</v>
      </c>
      <c r="AB259" s="100">
        <f t="shared" si="65"/>
        <v>0</v>
      </c>
      <c r="AC259" s="104"/>
      <c r="AD259" s="105"/>
      <c r="AE259" s="105"/>
      <c r="AF259" s="105"/>
      <c r="AG259" s="99">
        <v>10</v>
      </c>
      <c r="AH259" s="100">
        <f t="shared" si="66"/>
        <v>2030</v>
      </c>
      <c r="AI259" s="106"/>
      <c r="AJ259" s="107"/>
      <c r="AK259" s="107"/>
      <c r="AL259" s="107"/>
      <c r="AM259" s="99">
        <v>0</v>
      </c>
      <c r="AN259" s="100">
        <f t="shared" si="67"/>
        <v>0</v>
      </c>
      <c r="AO259" s="108">
        <f t="shared" si="59"/>
        <v>20</v>
      </c>
      <c r="AP259" s="308">
        <f t="shared" si="60"/>
        <v>2030</v>
      </c>
    </row>
    <row r="260" spans="1:50" ht="20.45" customHeight="1">
      <c r="A260" s="85" t="s">
        <v>980</v>
      </c>
      <c r="B260" s="86">
        <v>222</v>
      </c>
      <c r="C260" s="87">
        <v>1219443</v>
      </c>
      <c r="D260" s="142">
        <v>206926</v>
      </c>
      <c r="E260" s="142"/>
      <c r="F260" s="117" t="s">
        <v>981</v>
      </c>
      <c r="G260" s="109" t="s">
        <v>982</v>
      </c>
      <c r="H260" s="109" t="s">
        <v>169</v>
      </c>
      <c r="I260" s="91">
        <v>1</v>
      </c>
      <c r="J260" s="92" t="s">
        <v>88</v>
      </c>
      <c r="K260" s="93">
        <v>1</v>
      </c>
      <c r="L260" s="93" t="s">
        <v>73</v>
      </c>
      <c r="M260" s="116">
        <f>360/10*12</f>
        <v>432</v>
      </c>
      <c r="N260" s="116">
        <f>310/9*12</f>
        <v>413.33333333333331</v>
      </c>
      <c r="O260" s="116">
        <v>560</v>
      </c>
      <c r="P260" s="94">
        <v>600</v>
      </c>
      <c r="Q260" s="133">
        <v>0</v>
      </c>
      <c r="R260" s="96">
        <f>P260-Q260</f>
        <v>600</v>
      </c>
      <c r="S260" s="97">
        <v>80</v>
      </c>
      <c r="T260" s="98">
        <f t="shared" si="63"/>
        <v>48000</v>
      </c>
      <c r="U260" s="99">
        <v>200</v>
      </c>
      <c r="V260" s="100">
        <f t="shared" si="71"/>
        <v>16000</v>
      </c>
      <c r="W260" s="101">
        <v>200</v>
      </c>
      <c r="X260" s="102" t="s">
        <v>74</v>
      </c>
      <c r="Y260" s="103">
        <v>57</v>
      </c>
      <c r="Z260" s="103">
        <f t="shared" si="72"/>
        <v>11400</v>
      </c>
      <c r="AA260" s="99">
        <v>0</v>
      </c>
      <c r="AB260" s="100">
        <f t="shared" si="65"/>
        <v>0</v>
      </c>
      <c r="AC260" s="104"/>
      <c r="AD260" s="105"/>
      <c r="AE260" s="105"/>
      <c r="AF260" s="105"/>
      <c r="AG260" s="99">
        <v>200</v>
      </c>
      <c r="AH260" s="100">
        <f t="shared" si="66"/>
        <v>16000</v>
      </c>
      <c r="AI260" s="106"/>
      <c r="AJ260" s="107"/>
      <c r="AK260" s="107"/>
      <c r="AL260" s="107"/>
      <c r="AM260" s="99">
        <v>200</v>
      </c>
      <c r="AN260" s="100">
        <f t="shared" si="67"/>
        <v>16000</v>
      </c>
      <c r="AO260" s="108">
        <f t="shared" si="59"/>
        <v>600</v>
      </c>
      <c r="AP260" s="308">
        <f t="shared" si="60"/>
        <v>11400</v>
      </c>
      <c r="AT260" s="121"/>
      <c r="AU260" s="121"/>
      <c r="AV260" s="121"/>
      <c r="AW260" s="121"/>
      <c r="AX260" s="121"/>
    </row>
    <row r="261" spans="1:50" ht="20.45" customHeight="1">
      <c r="A261" s="85" t="s">
        <v>983</v>
      </c>
      <c r="B261" s="86">
        <v>223</v>
      </c>
      <c r="C261" s="87" t="s">
        <v>984</v>
      </c>
      <c r="D261" s="88">
        <v>246135</v>
      </c>
      <c r="E261" s="88"/>
      <c r="F261" s="89" t="s">
        <v>985</v>
      </c>
      <c r="G261" s="109" t="s">
        <v>986</v>
      </c>
      <c r="H261" s="109"/>
      <c r="I261" s="91">
        <v>1</v>
      </c>
      <c r="J261" s="92" t="s">
        <v>83</v>
      </c>
      <c r="K261" s="93">
        <v>4</v>
      </c>
      <c r="L261" s="93" t="s">
        <v>84</v>
      </c>
      <c r="M261" s="116">
        <f>157/4*12/10</f>
        <v>47.1</v>
      </c>
      <c r="N261" s="116">
        <v>30</v>
      </c>
      <c r="O261" s="116">
        <v>46</v>
      </c>
      <c r="P261" s="94">
        <v>100</v>
      </c>
      <c r="Q261" s="95">
        <v>0</v>
      </c>
      <c r="R261" s="112">
        <v>200</v>
      </c>
      <c r="S261" s="97">
        <v>5.36</v>
      </c>
      <c r="T261" s="98">
        <f t="shared" si="63"/>
        <v>1072</v>
      </c>
      <c r="U261" s="99">
        <v>200</v>
      </c>
      <c r="V261" s="100">
        <f t="shared" si="71"/>
        <v>1072</v>
      </c>
      <c r="W261" s="101">
        <v>200</v>
      </c>
      <c r="X261" s="102" t="s">
        <v>337</v>
      </c>
      <c r="Y261" s="103">
        <v>5.35</v>
      </c>
      <c r="Z261" s="103">
        <f t="shared" si="72"/>
        <v>1070</v>
      </c>
      <c r="AA261" s="99">
        <v>0</v>
      </c>
      <c r="AB261" s="100">
        <f t="shared" si="65"/>
        <v>0</v>
      </c>
      <c r="AC261" s="104"/>
      <c r="AD261" s="105"/>
      <c r="AE261" s="105"/>
      <c r="AF261" s="105"/>
      <c r="AG261" s="99">
        <v>0</v>
      </c>
      <c r="AH261" s="100">
        <f t="shared" si="66"/>
        <v>0</v>
      </c>
      <c r="AI261" s="106"/>
      <c r="AJ261" s="107"/>
      <c r="AK261" s="107"/>
      <c r="AL261" s="107"/>
      <c r="AM261" s="99">
        <v>0</v>
      </c>
      <c r="AN261" s="100">
        <f t="shared" si="67"/>
        <v>0</v>
      </c>
      <c r="AO261" s="108">
        <f t="shared" si="59"/>
        <v>200</v>
      </c>
      <c r="AP261" s="308">
        <f t="shared" si="60"/>
        <v>1070</v>
      </c>
    </row>
    <row r="262" spans="1:50" ht="20.45" customHeight="1">
      <c r="A262" s="85" t="s">
        <v>987</v>
      </c>
      <c r="B262" s="86">
        <v>224</v>
      </c>
      <c r="C262" s="170">
        <v>572182</v>
      </c>
      <c r="D262" s="171">
        <v>572130</v>
      </c>
      <c r="E262" s="171"/>
      <c r="F262" s="117" t="s">
        <v>988</v>
      </c>
      <c r="G262" s="172" t="s">
        <v>989</v>
      </c>
      <c r="H262" s="109" t="s">
        <v>169</v>
      </c>
      <c r="I262" s="173">
        <v>1</v>
      </c>
      <c r="J262" s="174" t="s">
        <v>88</v>
      </c>
      <c r="K262" s="175">
        <v>1</v>
      </c>
      <c r="L262" s="175" t="s">
        <v>990</v>
      </c>
      <c r="M262" s="116">
        <f>138/10*12</f>
        <v>165.60000000000002</v>
      </c>
      <c r="N262" s="116">
        <f>130/9*12</f>
        <v>173.33333333333334</v>
      </c>
      <c r="O262" s="116">
        <v>173.33333333333334</v>
      </c>
      <c r="P262" s="94">
        <v>197</v>
      </c>
      <c r="Q262" s="95">
        <v>97</v>
      </c>
      <c r="R262" s="112">
        <v>300</v>
      </c>
      <c r="S262" s="152">
        <v>40</v>
      </c>
      <c r="T262" s="98">
        <f t="shared" si="63"/>
        <v>12000</v>
      </c>
      <c r="U262" s="99">
        <v>100</v>
      </c>
      <c r="V262" s="100">
        <f t="shared" si="71"/>
        <v>4000</v>
      </c>
      <c r="W262" s="101">
        <v>100</v>
      </c>
      <c r="X262" s="102" t="s">
        <v>203</v>
      </c>
      <c r="Y262" s="103">
        <v>26.536000000000001</v>
      </c>
      <c r="Z262" s="103">
        <f t="shared" si="72"/>
        <v>2653.6000000000004</v>
      </c>
      <c r="AA262" s="99">
        <v>100</v>
      </c>
      <c r="AB262" s="100">
        <f t="shared" si="65"/>
        <v>4000</v>
      </c>
      <c r="AC262" s="104"/>
      <c r="AD262" s="105"/>
      <c r="AE262" s="105"/>
      <c r="AF262" s="105"/>
      <c r="AG262" s="99">
        <v>0</v>
      </c>
      <c r="AH262" s="100">
        <f t="shared" si="66"/>
        <v>0</v>
      </c>
      <c r="AI262" s="106">
        <v>100</v>
      </c>
      <c r="AJ262" s="107" t="s">
        <v>203</v>
      </c>
      <c r="AK262" s="107">
        <v>26.536000000000001</v>
      </c>
      <c r="AL262" s="107">
        <f t="shared" ref="AL262:AL270" si="73">AK262*AI262</f>
        <v>2653.6000000000004</v>
      </c>
      <c r="AM262" s="99">
        <v>100</v>
      </c>
      <c r="AN262" s="100">
        <f t="shared" si="67"/>
        <v>4000</v>
      </c>
      <c r="AO262" s="108">
        <f t="shared" si="59"/>
        <v>300</v>
      </c>
      <c r="AP262" s="308">
        <f t="shared" si="60"/>
        <v>5307.2000000000007</v>
      </c>
    </row>
    <row r="263" spans="1:50" ht="20.45" customHeight="1">
      <c r="A263" s="85" t="s">
        <v>991</v>
      </c>
      <c r="B263" s="86">
        <v>225</v>
      </c>
      <c r="C263" s="87" t="s">
        <v>992</v>
      </c>
      <c r="D263" s="88">
        <v>391943</v>
      </c>
      <c r="E263" s="88"/>
      <c r="F263" s="89" t="s">
        <v>993</v>
      </c>
      <c r="G263" s="109" t="s">
        <v>994</v>
      </c>
      <c r="H263" s="109"/>
      <c r="I263" s="91">
        <v>1</v>
      </c>
      <c r="J263" s="92" t="s">
        <v>83</v>
      </c>
      <c r="K263" s="93">
        <v>100</v>
      </c>
      <c r="L263" s="93" t="s">
        <v>84</v>
      </c>
      <c r="M263" s="116">
        <f>12*12/10</f>
        <v>14.4</v>
      </c>
      <c r="N263" s="116">
        <f>11/9*12</f>
        <v>14.666666666666668</v>
      </c>
      <c r="O263" s="116">
        <v>20</v>
      </c>
      <c r="P263" s="94">
        <v>20</v>
      </c>
      <c r="Q263" s="95">
        <v>5</v>
      </c>
      <c r="R263" s="96">
        <v>20</v>
      </c>
      <c r="S263" s="97">
        <f>3.75*100</f>
        <v>375</v>
      </c>
      <c r="T263" s="98">
        <f t="shared" ref="T263:T294" si="74">S263*R263</f>
        <v>7500</v>
      </c>
      <c r="U263" s="99">
        <v>0</v>
      </c>
      <c r="V263" s="100">
        <f t="shared" si="71"/>
        <v>0</v>
      </c>
      <c r="W263" s="101"/>
      <c r="X263" s="102"/>
      <c r="Y263" s="103"/>
      <c r="Z263" s="103"/>
      <c r="AA263" s="99">
        <v>10</v>
      </c>
      <c r="AB263" s="100">
        <f t="shared" ref="AB263:AB294" si="75">AA263*S263</f>
        <v>3750</v>
      </c>
      <c r="AC263" s="104">
        <v>10</v>
      </c>
      <c r="AD263" s="105" t="s">
        <v>995</v>
      </c>
      <c r="AE263" s="105">
        <v>245</v>
      </c>
      <c r="AF263" s="105"/>
      <c r="AG263" s="99">
        <v>10</v>
      </c>
      <c r="AH263" s="100">
        <f t="shared" ref="AH263:AH294" si="76">S263*AG263</f>
        <v>3750</v>
      </c>
      <c r="AI263" s="106"/>
      <c r="AJ263" s="107"/>
      <c r="AK263" s="107"/>
      <c r="AL263" s="107">
        <f t="shared" si="73"/>
        <v>0</v>
      </c>
      <c r="AM263" s="99">
        <v>0</v>
      </c>
      <c r="AN263" s="100">
        <f t="shared" ref="AN263:AN294" si="77">S263*AM263</f>
        <v>0</v>
      </c>
      <c r="AO263" s="108">
        <f t="shared" si="59"/>
        <v>20</v>
      </c>
      <c r="AP263" s="308">
        <f t="shared" si="60"/>
        <v>0</v>
      </c>
    </row>
    <row r="264" spans="1:50" ht="20.45" customHeight="1">
      <c r="A264" s="85" t="s">
        <v>996</v>
      </c>
      <c r="B264" s="86">
        <v>226</v>
      </c>
      <c r="C264" s="87" t="s">
        <v>997</v>
      </c>
      <c r="D264" s="88">
        <v>245629</v>
      </c>
      <c r="E264" s="88"/>
      <c r="F264" s="89" t="s">
        <v>998</v>
      </c>
      <c r="G264" s="109" t="s">
        <v>999</v>
      </c>
      <c r="H264" s="109"/>
      <c r="I264" s="91">
        <v>1</v>
      </c>
      <c r="J264" s="92" t="s">
        <v>83</v>
      </c>
      <c r="K264" s="93">
        <v>1000</v>
      </c>
      <c r="L264" s="93" t="s">
        <v>84</v>
      </c>
      <c r="M264" s="116">
        <f>9.9/10*12</f>
        <v>11.879999999999999</v>
      </c>
      <c r="N264" s="116">
        <f>8.64/9*12</f>
        <v>11.520000000000001</v>
      </c>
      <c r="O264" s="116">
        <v>10</v>
      </c>
      <c r="P264" s="94">
        <v>10</v>
      </c>
      <c r="Q264" s="95">
        <v>2</v>
      </c>
      <c r="R264" s="145">
        <v>4</v>
      </c>
      <c r="S264" s="97">
        <v>1210</v>
      </c>
      <c r="T264" s="98">
        <f t="shared" si="74"/>
        <v>4840</v>
      </c>
      <c r="U264" s="99">
        <v>0</v>
      </c>
      <c r="V264" s="100">
        <f t="shared" si="71"/>
        <v>0</v>
      </c>
      <c r="W264" s="101"/>
      <c r="X264" s="102"/>
      <c r="Y264" s="103"/>
      <c r="Z264" s="103"/>
      <c r="AA264" s="99">
        <v>0</v>
      </c>
      <c r="AB264" s="100">
        <f t="shared" si="75"/>
        <v>0</v>
      </c>
      <c r="AC264" s="104"/>
      <c r="AD264" s="105"/>
      <c r="AE264" s="105"/>
      <c r="AF264" s="105"/>
      <c r="AG264" s="99">
        <v>4</v>
      </c>
      <c r="AH264" s="100">
        <f t="shared" si="76"/>
        <v>4840</v>
      </c>
      <c r="AI264" s="106"/>
      <c r="AJ264" s="107"/>
      <c r="AK264" s="107"/>
      <c r="AL264" s="107">
        <f t="shared" si="73"/>
        <v>0</v>
      </c>
      <c r="AM264" s="99">
        <v>0</v>
      </c>
      <c r="AN264" s="100">
        <f t="shared" si="77"/>
        <v>0</v>
      </c>
      <c r="AO264" s="108">
        <f t="shared" ref="AO264:AO327" si="78">U264+AA264+AG264+AM264</f>
        <v>4</v>
      </c>
      <c r="AP264" s="308">
        <f t="shared" si="60"/>
        <v>0</v>
      </c>
    </row>
    <row r="265" spans="1:50" ht="20.45" customHeight="1">
      <c r="A265" s="85" t="s">
        <v>1000</v>
      </c>
      <c r="B265" s="86">
        <v>227</v>
      </c>
      <c r="C265" s="87" t="s">
        <v>1001</v>
      </c>
      <c r="D265" s="88">
        <v>393987</v>
      </c>
      <c r="E265" s="88"/>
      <c r="F265" s="89" t="s">
        <v>1002</v>
      </c>
      <c r="G265" s="113" t="s">
        <v>1003</v>
      </c>
      <c r="H265" s="113"/>
      <c r="I265" s="114">
        <v>1</v>
      </c>
      <c r="J265" s="118" t="s">
        <v>83</v>
      </c>
      <c r="K265" s="115">
        <v>1000</v>
      </c>
      <c r="L265" s="115" t="s">
        <v>84</v>
      </c>
      <c r="M265" s="116">
        <f>8/10*12</f>
        <v>9.6000000000000014</v>
      </c>
      <c r="N265" s="116">
        <f>5/9*12</f>
        <v>6.666666666666667</v>
      </c>
      <c r="O265" s="116">
        <v>5.333333333333333</v>
      </c>
      <c r="P265" s="94">
        <v>5</v>
      </c>
      <c r="Q265" s="95">
        <v>0</v>
      </c>
      <c r="R265" s="96">
        <v>10</v>
      </c>
      <c r="S265" s="152">
        <v>550</v>
      </c>
      <c r="T265" s="98">
        <f t="shared" si="74"/>
        <v>5500</v>
      </c>
      <c r="U265" s="99">
        <v>10</v>
      </c>
      <c r="V265" s="100">
        <f t="shared" si="71"/>
        <v>5500</v>
      </c>
      <c r="W265" s="101">
        <v>10</v>
      </c>
      <c r="X265" s="102" t="s">
        <v>715</v>
      </c>
      <c r="Y265" s="103">
        <v>550</v>
      </c>
      <c r="Z265" s="103">
        <f>Y265*W265</f>
        <v>5500</v>
      </c>
      <c r="AA265" s="99">
        <v>0</v>
      </c>
      <c r="AB265" s="100">
        <f t="shared" si="75"/>
        <v>0</v>
      </c>
      <c r="AC265" s="104"/>
      <c r="AD265" s="105"/>
      <c r="AE265" s="105"/>
      <c r="AF265" s="105"/>
      <c r="AG265" s="99">
        <v>0</v>
      </c>
      <c r="AH265" s="100">
        <f t="shared" si="76"/>
        <v>0</v>
      </c>
      <c r="AI265" s="106"/>
      <c r="AJ265" s="107"/>
      <c r="AK265" s="107"/>
      <c r="AL265" s="107">
        <f t="shared" si="73"/>
        <v>0</v>
      </c>
      <c r="AM265" s="99">
        <v>0</v>
      </c>
      <c r="AN265" s="100">
        <f t="shared" si="77"/>
        <v>0</v>
      </c>
      <c r="AO265" s="108">
        <f t="shared" si="78"/>
        <v>10</v>
      </c>
      <c r="AP265" s="308">
        <f t="shared" ref="AP265" si="79">Z265+AF265+AL265</f>
        <v>5500</v>
      </c>
    </row>
    <row r="266" spans="1:50" ht="20.45" customHeight="1">
      <c r="A266" s="85" t="s">
        <v>1012</v>
      </c>
      <c r="B266" s="86">
        <v>230</v>
      </c>
      <c r="C266" s="87" t="s">
        <v>1013</v>
      </c>
      <c r="D266" s="88">
        <v>787807</v>
      </c>
      <c r="E266" s="88"/>
      <c r="F266" s="89" t="s">
        <v>1014</v>
      </c>
      <c r="G266" s="113" t="s">
        <v>1015</v>
      </c>
      <c r="H266" s="113"/>
      <c r="I266" s="114">
        <v>1</v>
      </c>
      <c r="J266" s="92" t="s">
        <v>51</v>
      </c>
      <c r="K266" s="93">
        <v>1</v>
      </c>
      <c r="L266" s="93" t="s">
        <v>52</v>
      </c>
      <c r="M266" s="116">
        <f>70*12/10</f>
        <v>84</v>
      </c>
      <c r="N266" s="116">
        <f>47/9*12</f>
        <v>62.666666666666671</v>
      </c>
      <c r="O266" s="116">
        <v>88</v>
      </c>
      <c r="P266" s="94">
        <v>120</v>
      </c>
      <c r="Q266" s="95">
        <v>0</v>
      </c>
      <c r="R266" s="112">
        <v>180</v>
      </c>
      <c r="S266" s="97">
        <v>175</v>
      </c>
      <c r="T266" s="98">
        <f t="shared" si="74"/>
        <v>31500</v>
      </c>
      <c r="U266" s="99">
        <v>60</v>
      </c>
      <c r="V266" s="100">
        <f t="shared" si="71"/>
        <v>10500</v>
      </c>
      <c r="W266" s="101">
        <v>60</v>
      </c>
      <c r="X266" s="102" t="s">
        <v>1016</v>
      </c>
      <c r="Y266" s="103">
        <v>175</v>
      </c>
      <c r="Z266" s="103">
        <f>Y266*W266</f>
        <v>10500</v>
      </c>
      <c r="AA266" s="99">
        <v>60</v>
      </c>
      <c r="AB266" s="100">
        <f t="shared" si="75"/>
        <v>10500</v>
      </c>
      <c r="AC266" s="104">
        <v>60</v>
      </c>
      <c r="AD266" s="105" t="s">
        <v>1016</v>
      </c>
      <c r="AE266" s="105">
        <v>175</v>
      </c>
      <c r="AF266" s="105">
        <f>AE266*AC266</f>
        <v>10500</v>
      </c>
      <c r="AG266" s="99">
        <v>60</v>
      </c>
      <c r="AH266" s="100">
        <f t="shared" si="76"/>
        <v>10500</v>
      </c>
      <c r="AI266" s="106"/>
      <c r="AJ266" s="107"/>
      <c r="AK266" s="107"/>
      <c r="AL266" s="107">
        <f t="shared" si="73"/>
        <v>0</v>
      </c>
      <c r="AM266" s="99">
        <v>0</v>
      </c>
      <c r="AN266" s="100">
        <f t="shared" si="77"/>
        <v>0</v>
      </c>
      <c r="AO266" s="108">
        <f t="shared" si="78"/>
        <v>180</v>
      </c>
    </row>
    <row r="267" spans="1:50" ht="20.45" customHeight="1">
      <c r="A267" s="85" t="s">
        <v>1021</v>
      </c>
      <c r="B267" s="86">
        <v>232</v>
      </c>
      <c r="C267" s="170">
        <v>105398</v>
      </c>
      <c r="D267" s="171">
        <v>207543</v>
      </c>
      <c r="E267" s="171"/>
      <c r="F267" s="117" t="s">
        <v>1022</v>
      </c>
      <c r="G267" s="172" t="s">
        <v>1023</v>
      </c>
      <c r="H267" s="172"/>
      <c r="I267" s="173">
        <v>1</v>
      </c>
      <c r="J267" s="174" t="s">
        <v>88</v>
      </c>
      <c r="K267" s="175">
        <v>1</v>
      </c>
      <c r="L267" s="175" t="s">
        <v>73</v>
      </c>
      <c r="M267" s="116">
        <f>4200/10*12</f>
        <v>5040</v>
      </c>
      <c r="N267" s="116">
        <f>4380/9*12</f>
        <v>5840</v>
      </c>
      <c r="O267" s="116">
        <v>4600</v>
      </c>
      <c r="P267" s="94">
        <v>5000</v>
      </c>
      <c r="Q267" s="95">
        <v>1000</v>
      </c>
      <c r="R267" s="96">
        <f>P267-Q267</f>
        <v>4000</v>
      </c>
      <c r="S267" s="131">
        <v>20</v>
      </c>
      <c r="T267" s="98">
        <f t="shared" si="74"/>
        <v>80000</v>
      </c>
      <c r="U267" s="99">
        <v>1000</v>
      </c>
      <c r="V267" s="100">
        <f t="shared" si="71"/>
        <v>20000</v>
      </c>
      <c r="W267" s="101">
        <v>1000</v>
      </c>
      <c r="X267" s="102" t="s">
        <v>203</v>
      </c>
      <c r="Y267" s="103">
        <v>11.98</v>
      </c>
      <c r="Z267" s="103">
        <f>Y267*W267</f>
        <v>11980</v>
      </c>
      <c r="AA267" s="99">
        <v>1000</v>
      </c>
      <c r="AB267" s="100">
        <f t="shared" si="75"/>
        <v>20000</v>
      </c>
      <c r="AC267" s="104">
        <v>1000</v>
      </c>
      <c r="AD267" s="105" t="s">
        <v>203</v>
      </c>
      <c r="AE267" s="105">
        <v>11.98</v>
      </c>
      <c r="AF267" s="105">
        <f>AE267*AC267</f>
        <v>11980</v>
      </c>
      <c r="AG267" s="99">
        <v>1000</v>
      </c>
      <c r="AH267" s="100">
        <f t="shared" si="76"/>
        <v>20000</v>
      </c>
      <c r="AI267" s="106">
        <v>1000</v>
      </c>
      <c r="AJ267" s="107" t="s">
        <v>203</v>
      </c>
      <c r="AK267" s="107">
        <v>11.98</v>
      </c>
      <c r="AL267" s="107">
        <f t="shared" si="73"/>
        <v>11980</v>
      </c>
      <c r="AM267" s="99">
        <v>1000</v>
      </c>
      <c r="AN267" s="100">
        <f t="shared" si="77"/>
        <v>20000</v>
      </c>
      <c r="AO267" s="108">
        <f t="shared" si="78"/>
        <v>4000</v>
      </c>
    </row>
    <row r="268" spans="1:50" ht="20.45" customHeight="1">
      <c r="A268" s="85" t="s">
        <v>1024</v>
      </c>
      <c r="B268" s="86">
        <v>233</v>
      </c>
      <c r="C268" s="87" t="s">
        <v>1025</v>
      </c>
      <c r="D268" s="88">
        <v>682091</v>
      </c>
      <c r="E268" s="88"/>
      <c r="F268" s="89" t="s">
        <v>1026</v>
      </c>
      <c r="G268" s="113" t="s">
        <v>1027</v>
      </c>
      <c r="H268" s="113"/>
      <c r="I268" s="114">
        <v>1</v>
      </c>
      <c r="J268" s="118" t="s">
        <v>83</v>
      </c>
      <c r="K268" s="115">
        <v>28</v>
      </c>
      <c r="L268" s="115" t="s">
        <v>84</v>
      </c>
      <c r="M268" s="116">
        <f>114800/28/10*12</f>
        <v>4920</v>
      </c>
      <c r="N268" s="116">
        <f>4600/9*12</f>
        <v>6133.333333333333</v>
      </c>
      <c r="O268" s="116">
        <v>3800</v>
      </c>
      <c r="P268" s="94">
        <v>4400</v>
      </c>
      <c r="Q268" s="95">
        <v>400</v>
      </c>
      <c r="R268" s="96">
        <f>P268-Q268</f>
        <v>4000</v>
      </c>
      <c r="S268" s="97">
        <v>5.5</v>
      </c>
      <c r="T268" s="98">
        <f t="shared" si="74"/>
        <v>22000</v>
      </c>
      <c r="U268" s="138">
        <v>1000</v>
      </c>
      <c r="V268" s="100">
        <f t="shared" si="71"/>
        <v>5500</v>
      </c>
      <c r="W268" s="101">
        <v>1000</v>
      </c>
      <c r="X268" s="102" t="s">
        <v>866</v>
      </c>
      <c r="Y268" s="103">
        <f>212.5/50</f>
        <v>4.25</v>
      </c>
      <c r="Z268" s="103">
        <f>Y268*W268</f>
        <v>4250</v>
      </c>
      <c r="AA268" s="138">
        <v>1000</v>
      </c>
      <c r="AB268" s="100">
        <f t="shared" si="75"/>
        <v>5500</v>
      </c>
      <c r="AC268" s="104">
        <v>1000</v>
      </c>
      <c r="AD268" s="105" t="s">
        <v>866</v>
      </c>
      <c r="AE268" s="105">
        <f>212.5/50</f>
        <v>4.25</v>
      </c>
      <c r="AF268" s="105">
        <f>AE268*AC268</f>
        <v>4250</v>
      </c>
      <c r="AG268" s="138">
        <v>1000</v>
      </c>
      <c r="AH268" s="100">
        <f t="shared" si="76"/>
        <v>5500</v>
      </c>
      <c r="AI268" s="106">
        <v>1000</v>
      </c>
      <c r="AJ268" s="107" t="s">
        <v>866</v>
      </c>
      <c r="AK268" s="107">
        <v>4.25</v>
      </c>
      <c r="AL268" s="107">
        <f t="shared" si="73"/>
        <v>4250</v>
      </c>
      <c r="AM268" s="138">
        <v>1000</v>
      </c>
      <c r="AN268" s="100">
        <f t="shared" si="77"/>
        <v>5500</v>
      </c>
      <c r="AO268" s="108">
        <f t="shared" si="78"/>
        <v>4000</v>
      </c>
    </row>
    <row r="269" spans="1:50" ht="20.45" customHeight="1">
      <c r="A269" s="85" t="s">
        <v>1028</v>
      </c>
      <c r="B269" s="86">
        <v>234</v>
      </c>
      <c r="C269" s="87" t="s">
        <v>1029</v>
      </c>
      <c r="D269" s="88">
        <v>940000</v>
      </c>
      <c r="E269" s="88"/>
      <c r="F269" s="89" t="s">
        <v>1030</v>
      </c>
      <c r="G269" s="172" t="s">
        <v>1031</v>
      </c>
      <c r="H269" s="172"/>
      <c r="I269" s="154">
        <v>1</v>
      </c>
      <c r="J269" s="92" t="s">
        <v>94</v>
      </c>
      <c r="K269" s="93">
        <v>100</v>
      </c>
      <c r="L269" s="93" t="s">
        <v>95</v>
      </c>
      <c r="M269" s="116">
        <f>115/10*12</f>
        <v>138</v>
      </c>
      <c r="N269" s="116">
        <f>91/9*12</f>
        <v>121.33333333333333</v>
      </c>
      <c r="O269" s="116">
        <v>108</v>
      </c>
      <c r="P269" s="94">
        <v>123</v>
      </c>
      <c r="Q269" s="133">
        <v>23</v>
      </c>
      <c r="R269" s="145">
        <v>50</v>
      </c>
      <c r="S269" s="97">
        <v>81</v>
      </c>
      <c r="T269" s="98">
        <f t="shared" si="74"/>
        <v>4050</v>
      </c>
      <c r="U269" s="99">
        <v>0</v>
      </c>
      <c r="V269" s="100">
        <f t="shared" si="71"/>
        <v>0</v>
      </c>
      <c r="W269" s="101"/>
      <c r="X269" s="102"/>
      <c r="Y269" s="103"/>
      <c r="Z269" s="103"/>
      <c r="AA269" s="99">
        <v>0</v>
      </c>
      <c r="AB269" s="100">
        <f t="shared" si="75"/>
        <v>0</v>
      </c>
      <c r="AC269" s="104"/>
      <c r="AD269" s="105"/>
      <c r="AE269" s="105"/>
      <c r="AF269" s="105"/>
      <c r="AG269" s="99">
        <v>50</v>
      </c>
      <c r="AH269" s="100">
        <f t="shared" si="76"/>
        <v>4050</v>
      </c>
      <c r="AI269" s="106">
        <v>50</v>
      </c>
      <c r="AJ269" s="107" t="s">
        <v>1032</v>
      </c>
      <c r="AK269" s="107">
        <v>80</v>
      </c>
      <c r="AL269" s="107">
        <f t="shared" si="73"/>
        <v>4000</v>
      </c>
      <c r="AM269" s="99">
        <v>0</v>
      </c>
      <c r="AN269" s="100">
        <f t="shared" si="77"/>
        <v>0</v>
      </c>
      <c r="AO269" s="108">
        <f t="shared" si="78"/>
        <v>50</v>
      </c>
    </row>
    <row r="270" spans="1:50" ht="20.45" customHeight="1">
      <c r="A270" s="85" t="s">
        <v>1033</v>
      </c>
      <c r="B270" s="86">
        <v>235</v>
      </c>
      <c r="C270" s="87" t="s">
        <v>1034</v>
      </c>
      <c r="D270" s="88">
        <v>853019</v>
      </c>
      <c r="E270" s="88"/>
      <c r="F270" s="89" t="s">
        <v>1030</v>
      </c>
      <c r="G270" s="113" t="s">
        <v>1035</v>
      </c>
      <c r="H270" s="113"/>
      <c r="I270" s="91">
        <v>1</v>
      </c>
      <c r="J270" s="92" t="s">
        <v>94</v>
      </c>
      <c r="K270" s="93">
        <v>50</v>
      </c>
      <c r="L270" s="93" t="s">
        <v>95</v>
      </c>
      <c r="M270" s="116">
        <f>24850/50</f>
        <v>497</v>
      </c>
      <c r="N270" s="116">
        <f>396/9*12</f>
        <v>528</v>
      </c>
      <c r="O270" s="116">
        <v>470.66666666666669</v>
      </c>
      <c r="P270" s="94">
        <v>480</v>
      </c>
      <c r="Q270" s="133">
        <v>0</v>
      </c>
      <c r="R270" s="96">
        <f>P270-Q270</f>
        <v>480</v>
      </c>
      <c r="S270" s="97">
        <v>150</v>
      </c>
      <c r="T270" s="98">
        <f t="shared" si="74"/>
        <v>72000</v>
      </c>
      <c r="U270" s="99">
        <v>120</v>
      </c>
      <c r="V270" s="100">
        <f t="shared" si="71"/>
        <v>18000</v>
      </c>
      <c r="W270" s="101">
        <v>120</v>
      </c>
      <c r="X270" s="102" t="s">
        <v>1032</v>
      </c>
      <c r="Y270" s="103">
        <v>132.5</v>
      </c>
      <c r="Z270" s="103">
        <f>Y270*W270</f>
        <v>15900</v>
      </c>
      <c r="AA270" s="99">
        <v>130</v>
      </c>
      <c r="AB270" s="100">
        <f t="shared" si="75"/>
        <v>19500</v>
      </c>
      <c r="AC270" s="104">
        <v>130</v>
      </c>
      <c r="AD270" s="105" t="s">
        <v>1032</v>
      </c>
      <c r="AE270" s="105">
        <v>132.5</v>
      </c>
      <c r="AF270" s="105">
        <f t="shared" ref="AF270:AF275" si="80">AE270*AC270</f>
        <v>17225</v>
      </c>
      <c r="AG270" s="99">
        <v>130</v>
      </c>
      <c r="AH270" s="100">
        <f t="shared" si="76"/>
        <v>19500</v>
      </c>
      <c r="AI270" s="106">
        <v>130</v>
      </c>
      <c r="AJ270" s="107" t="s">
        <v>1032</v>
      </c>
      <c r="AK270" s="107">
        <v>132.5</v>
      </c>
      <c r="AL270" s="107">
        <f t="shared" si="73"/>
        <v>17225</v>
      </c>
      <c r="AM270" s="99">
        <v>100</v>
      </c>
      <c r="AN270" s="100">
        <f t="shared" si="77"/>
        <v>15000</v>
      </c>
      <c r="AO270" s="108">
        <f t="shared" si="78"/>
        <v>480</v>
      </c>
      <c r="AT270" s="121"/>
      <c r="AU270" s="121"/>
      <c r="AV270" s="121"/>
      <c r="AW270" s="121"/>
      <c r="AX270" s="121"/>
    </row>
    <row r="271" spans="1:50" ht="20.45" customHeight="1">
      <c r="A271" s="85" t="s">
        <v>1036</v>
      </c>
      <c r="B271" s="86">
        <v>236</v>
      </c>
      <c r="C271" s="87" t="s">
        <v>1037</v>
      </c>
      <c r="D271" s="88">
        <v>339303</v>
      </c>
      <c r="E271" s="88"/>
      <c r="F271" s="89" t="s">
        <v>1038</v>
      </c>
      <c r="G271" s="109" t="s">
        <v>1039</v>
      </c>
      <c r="H271" s="109" t="s">
        <v>110</v>
      </c>
      <c r="I271" s="91">
        <v>1</v>
      </c>
      <c r="J271" s="92" t="s">
        <v>184</v>
      </c>
      <c r="K271" s="93">
        <v>10</v>
      </c>
      <c r="L271" s="93" t="s">
        <v>185</v>
      </c>
      <c r="M271" s="116">
        <f>164/10*12</f>
        <v>196.79999999999998</v>
      </c>
      <c r="N271" s="116">
        <f>334*9/12</f>
        <v>250.5</v>
      </c>
      <c r="O271" s="116">
        <v>396</v>
      </c>
      <c r="P271" s="94">
        <v>400</v>
      </c>
      <c r="Q271" s="95">
        <v>0</v>
      </c>
      <c r="R271" s="112">
        <v>600</v>
      </c>
      <c r="S271" s="97">
        <v>120.9</v>
      </c>
      <c r="T271" s="98">
        <f t="shared" si="74"/>
        <v>72540</v>
      </c>
      <c r="U271" s="99">
        <v>200</v>
      </c>
      <c r="V271" s="100">
        <f t="shared" si="71"/>
        <v>24180</v>
      </c>
      <c r="W271" s="101">
        <f>2*100</f>
        <v>200</v>
      </c>
      <c r="X271" s="102" t="s">
        <v>110</v>
      </c>
      <c r="Y271" s="103">
        <v>120</v>
      </c>
      <c r="Z271" s="103">
        <f>Y271*W271</f>
        <v>24000</v>
      </c>
      <c r="AA271" s="99">
        <v>200</v>
      </c>
      <c r="AB271" s="100">
        <f t="shared" si="75"/>
        <v>24180</v>
      </c>
      <c r="AC271" s="104">
        <f>2*100</f>
        <v>200</v>
      </c>
      <c r="AD271" s="105" t="s">
        <v>110</v>
      </c>
      <c r="AE271" s="105">
        <v>120</v>
      </c>
      <c r="AF271" s="105">
        <f t="shared" si="80"/>
        <v>24000</v>
      </c>
      <c r="AG271" s="99">
        <v>100</v>
      </c>
      <c r="AH271" s="100">
        <f t="shared" si="76"/>
        <v>12090</v>
      </c>
      <c r="AI271" s="106"/>
      <c r="AJ271" s="107"/>
      <c r="AK271" s="107"/>
      <c r="AL271" s="107"/>
      <c r="AM271" s="99">
        <v>100</v>
      </c>
      <c r="AN271" s="100">
        <f t="shared" si="77"/>
        <v>12090</v>
      </c>
      <c r="AO271" s="108">
        <f t="shared" si="78"/>
        <v>600</v>
      </c>
      <c r="AT271" s="121"/>
      <c r="AU271" s="121"/>
      <c r="AV271" s="121"/>
      <c r="AW271" s="121"/>
      <c r="AX271" s="121"/>
    </row>
    <row r="272" spans="1:50" ht="20.45" customHeight="1">
      <c r="A272" s="85" t="s">
        <v>1040</v>
      </c>
      <c r="B272" s="86">
        <v>237</v>
      </c>
      <c r="C272" s="87" t="s">
        <v>1041</v>
      </c>
      <c r="D272" s="88">
        <v>339357</v>
      </c>
      <c r="E272" s="88"/>
      <c r="F272" s="89" t="s">
        <v>1042</v>
      </c>
      <c r="G272" s="109" t="s">
        <v>1043</v>
      </c>
      <c r="H272" s="109" t="s">
        <v>110</v>
      </c>
      <c r="I272" s="91">
        <v>1</v>
      </c>
      <c r="J272" s="92" t="s">
        <v>184</v>
      </c>
      <c r="K272" s="93">
        <v>10</v>
      </c>
      <c r="L272" s="93" t="s">
        <v>185</v>
      </c>
      <c r="M272" s="116">
        <v>50</v>
      </c>
      <c r="N272" s="116">
        <f>150/9*12</f>
        <v>200</v>
      </c>
      <c r="O272" s="116">
        <v>64</v>
      </c>
      <c r="P272" s="94">
        <v>62</v>
      </c>
      <c r="Q272" s="95">
        <v>2</v>
      </c>
      <c r="R272" s="112">
        <v>160</v>
      </c>
      <c r="S272" s="97">
        <v>150</v>
      </c>
      <c r="T272" s="98">
        <f t="shared" si="74"/>
        <v>24000</v>
      </c>
      <c r="U272" s="99">
        <v>40</v>
      </c>
      <c r="V272" s="100">
        <f t="shared" si="71"/>
        <v>6000</v>
      </c>
      <c r="W272" s="101">
        <f>2*20</f>
        <v>40</v>
      </c>
      <c r="X272" s="102" t="s">
        <v>110</v>
      </c>
      <c r="Y272" s="103">
        <v>150</v>
      </c>
      <c r="Z272" s="103">
        <f>Y272*W272</f>
        <v>6000</v>
      </c>
      <c r="AA272" s="99">
        <v>80</v>
      </c>
      <c r="AB272" s="100">
        <f t="shared" si="75"/>
        <v>12000</v>
      </c>
      <c r="AC272" s="104">
        <f>2*40</f>
        <v>80</v>
      </c>
      <c r="AD272" s="105" t="s">
        <v>110</v>
      </c>
      <c r="AE272" s="105">
        <v>150</v>
      </c>
      <c r="AF272" s="105">
        <f t="shared" si="80"/>
        <v>12000</v>
      </c>
      <c r="AG272" s="99">
        <v>40</v>
      </c>
      <c r="AH272" s="100">
        <f t="shared" si="76"/>
        <v>6000</v>
      </c>
      <c r="AI272" s="106"/>
      <c r="AJ272" s="107"/>
      <c r="AK272" s="107"/>
      <c r="AL272" s="107"/>
      <c r="AM272" s="99">
        <v>0</v>
      </c>
      <c r="AN272" s="100">
        <f t="shared" si="77"/>
        <v>0</v>
      </c>
      <c r="AO272" s="108">
        <f t="shared" si="78"/>
        <v>160</v>
      </c>
      <c r="AT272" s="121"/>
      <c r="AU272" s="121"/>
      <c r="AV272" s="121"/>
      <c r="AW272" s="121"/>
      <c r="AX272" s="121"/>
    </row>
    <row r="273" spans="1:50" ht="20.45" customHeight="1">
      <c r="A273" s="85" t="s">
        <v>1044</v>
      </c>
      <c r="B273" s="86">
        <v>238</v>
      </c>
      <c r="C273" s="87" t="s">
        <v>1045</v>
      </c>
      <c r="D273" s="88">
        <v>339405</v>
      </c>
      <c r="E273" s="88"/>
      <c r="F273" s="89" t="s">
        <v>1046</v>
      </c>
      <c r="G273" s="109" t="s">
        <v>1047</v>
      </c>
      <c r="H273" s="109" t="s">
        <v>110</v>
      </c>
      <c r="I273" s="91">
        <v>1</v>
      </c>
      <c r="J273" s="92" t="s">
        <v>184</v>
      </c>
      <c r="K273" s="93">
        <v>10</v>
      </c>
      <c r="L273" s="93" t="s">
        <v>185</v>
      </c>
      <c r="M273" s="116">
        <f>164/10*12</f>
        <v>196.79999999999998</v>
      </c>
      <c r="N273" s="116">
        <f>975/9*12</f>
        <v>1300</v>
      </c>
      <c r="O273" s="116">
        <v>1366.6666666666667</v>
      </c>
      <c r="P273" s="94">
        <v>800</v>
      </c>
      <c r="Q273" s="95">
        <v>0</v>
      </c>
      <c r="R273" s="112">
        <v>1200</v>
      </c>
      <c r="S273" s="97">
        <v>250</v>
      </c>
      <c r="T273" s="98">
        <f t="shared" si="74"/>
        <v>300000</v>
      </c>
      <c r="U273" s="99">
        <v>400</v>
      </c>
      <c r="V273" s="100">
        <f t="shared" si="71"/>
        <v>100000</v>
      </c>
      <c r="W273" s="101">
        <f>2*200</f>
        <v>400</v>
      </c>
      <c r="X273" s="102" t="s">
        <v>110</v>
      </c>
      <c r="Y273" s="103">
        <f>6250/25</f>
        <v>250</v>
      </c>
      <c r="Z273" s="103">
        <f>Y273*W273</f>
        <v>100000</v>
      </c>
      <c r="AA273" s="99">
        <v>400</v>
      </c>
      <c r="AB273" s="100">
        <f t="shared" si="75"/>
        <v>100000</v>
      </c>
      <c r="AC273" s="104">
        <f>2*200</f>
        <v>400</v>
      </c>
      <c r="AD273" s="105" t="s">
        <v>110</v>
      </c>
      <c r="AE273" s="105">
        <v>250</v>
      </c>
      <c r="AF273" s="105">
        <f t="shared" si="80"/>
        <v>100000</v>
      </c>
      <c r="AG273" s="99">
        <v>200</v>
      </c>
      <c r="AH273" s="100">
        <f t="shared" si="76"/>
        <v>50000</v>
      </c>
      <c r="AI273" s="106"/>
      <c r="AJ273" s="107"/>
      <c r="AK273" s="107"/>
      <c r="AL273" s="107"/>
      <c r="AM273" s="99">
        <v>200</v>
      </c>
      <c r="AN273" s="100">
        <f t="shared" si="77"/>
        <v>50000</v>
      </c>
      <c r="AO273" s="108">
        <f t="shared" si="78"/>
        <v>1200</v>
      </c>
    </row>
    <row r="274" spans="1:50" ht="20.45" customHeight="1">
      <c r="A274" s="85" t="s">
        <v>1048</v>
      </c>
      <c r="B274" s="86">
        <v>239</v>
      </c>
      <c r="C274" s="87" t="s">
        <v>1049</v>
      </c>
      <c r="D274" s="88">
        <v>520880</v>
      </c>
      <c r="E274" s="88"/>
      <c r="F274" s="89" t="s">
        <v>1050</v>
      </c>
      <c r="G274" s="109" t="s">
        <v>1051</v>
      </c>
      <c r="H274" s="109"/>
      <c r="I274" s="91">
        <v>1</v>
      </c>
      <c r="J274" s="92" t="s">
        <v>88</v>
      </c>
      <c r="K274" s="93">
        <v>1</v>
      </c>
      <c r="L274" s="93" t="s">
        <v>73</v>
      </c>
      <c r="M274" s="116">
        <f>165*12/10</f>
        <v>198</v>
      </c>
      <c r="N274" s="116">
        <f>90/9*12</f>
        <v>120</v>
      </c>
      <c r="O274" s="116">
        <v>121.33333333333333</v>
      </c>
      <c r="P274" s="94">
        <v>140</v>
      </c>
      <c r="Q274" s="95">
        <v>140</v>
      </c>
      <c r="R274" s="96">
        <v>50</v>
      </c>
      <c r="S274" s="97">
        <v>12.84</v>
      </c>
      <c r="T274" s="98">
        <f t="shared" si="74"/>
        <v>642</v>
      </c>
      <c r="U274" s="99">
        <v>0</v>
      </c>
      <c r="V274" s="100">
        <f t="shared" si="71"/>
        <v>0</v>
      </c>
      <c r="W274" s="101"/>
      <c r="X274" s="102"/>
      <c r="Y274" s="103"/>
      <c r="Z274" s="103"/>
      <c r="AA274" s="99">
        <v>0</v>
      </c>
      <c r="AB274" s="100">
        <f t="shared" si="75"/>
        <v>0</v>
      </c>
      <c r="AC274" s="104">
        <v>50</v>
      </c>
      <c r="AD274" s="105" t="s">
        <v>1052</v>
      </c>
      <c r="AE274" s="105">
        <v>11.4</v>
      </c>
      <c r="AF274" s="105">
        <f t="shared" si="80"/>
        <v>570</v>
      </c>
      <c r="AG274" s="99">
        <v>0</v>
      </c>
      <c r="AH274" s="100">
        <f t="shared" si="76"/>
        <v>0</v>
      </c>
      <c r="AI274" s="106"/>
      <c r="AJ274" s="107"/>
      <c r="AK274" s="107"/>
      <c r="AL274" s="107"/>
      <c r="AM274" s="99">
        <v>0</v>
      </c>
      <c r="AN274" s="100">
        <f t="shared" si="77"/>
        <v>0</v>
      </c>
      <c r="AO274" s="108">
        <f t="shared" si="78"/>
        <v>0</v>
      </c>
    </row>
    <row r="275" spans="1:50" ht="20.45" customHeight="1">
      <c r="A275" s="85" t="s">
        <v>1053</v>
      </c>
      <c r="B275" s="86">
        <v>240</v>
      </c>
      <c r="C275" s="87" t="s">
        <v>1054</v>
      </c>
      <c r="D275" s="88">
        <v>747546</v>
      </c>
      <c r="E275" s="88"/>
      <c r="F275" s="89" t="s">
        <v>1055</v>
      </c>
      <c r="G275" s="109" t="s">
        <v>1056</v>
      </c>
      <c r="H275" s="109"/>
      <c r="I275" s="91">
        <v>1</v>
      </c>
      <c r="J275" s="92" t="s">
        <v>195</v>
      </c>
      <c r="K275" s="93">
        <v>1</v>
      </c>
      <c r="L275" s="93" t="s">
        <v>196</v>
      </c>
      <c r="M275" s="116">
        <f>10790/10*12</f>
        <v>12948</v>
      </c>
      <c r="N275" s="116">
        <f>8821/9*12</f>
        <v>11761.333333333332</v>
      </c>
      <c r="O275" s="116">
        <v>11077.333333333334</v>
      </c>
      <c r="P275" s="94">
        <v>11880</v>
      </c>
      <c r="Q275" s="95">
        <v>2880</v>
      </c>
      <c r="R275" s="96">
        <f>P275-Q275</f>
        <v>9000</v>
      </c>
      <c r="S275" s="152">
        <v>9</v>
      </c>
      <c r="T275" s="98">
        <f t="shared" si="74"/>
        <v>81000</v>
      </c>
      <c r="U275" s="99">
        <v>2500</v>
      </c>
      <c r="V275" s="100">
        <f t="shared" si="71"/>
        <v>22500</v>
      </c>
      <c r="W275" s="101">
        <v>2500</v>
      </c>
      <c r="X275" s="102" t="s">
        <v>160</v>
      </c>
      <c r="Y275" s="103">
        <f>360/50</f>
        <v>7.2</v>
      </c>
      <c r="Z275" s="103">
        <f t="shared" ref="Z275:Z280" si="81">Y275*W275</f>
        <v>18000</v>
      </c>
      <c r="AA275" s="99">
        <v>2500</v>
      </c>
      <c r="AB275" s="100">
        <f t="shared" si="75"/>
        <v>22500</v>
      </c>
      <c r="AC275" s="104">
        <v>2500</v>
      </c>
      <c r="AD275" s="105" t="s">
        <v>554</v>
      </c>
      <c r="AE275" s="105">
        <f>360/50</f>
        <v>7.2</v>
      </c>
      <c r="AF275" s="105">
        <f t="shared" si="80"/>
        <v>18000</v>
      </c>
      <c r="AG275" s="99">
        <v>2000</v>
      </c>
      <c r="AH275" s="100">
        <f t="shared" si="76"/>
        <v>18000</v>
      </c>
      <c r="AI275" s="106">
        <v>2000</v>
      </c>
      <c r="AJ275" s="107" t="s">
        <v>554</v>
      </c>
      <c r="AK275" s="107">
        <v>7.2</v>
      </c>
      <c r="AL275" s="107">
        <f>AK275*AI275</f>
        <v>14400</v>
      </c>
      <c r="AM275" s="99">
        <v>2000</v>
      </c>
      <c r="AN275" s="100">
        <f t="shared" si="77"/>
        <v>18000</v>
      </c>
      <c r="AO275" s="108">
        <f t="shared" si="78"/>
        <v>9000</v>
      </c>
    </row>
    <row r="276" spans="1:50" ht="20.45" customHeight="1">
      <c r="A276" s="85" t="s">
        <v>1057</v>
      </c>
      <c r="B276" s="86">
        <v>241</v>
      </c>
      <c r="C276" s="87" t="s">
        <v>1058</v>
      </c>
      <c r="D276" s="88">
        <v>228450</v>
      </c>
      <c r="E276" s="88"/>
      <c r="F276" s="89" t="s">
        <v>1059</v>
      </c>
      <c r="G276" s="109" t="s">
        <v>1060</v>
      </c>
      <c r="H276" s="109"/>
      <c r="I276" s="91">
        <v>1</v>
      </c>
      <c r="J276" s="92" t="s">
        <v>83</v>
      </c>
      <c r="K276" s="93">
        <v>1000</v>
      </c>
      <c r="L276" s="93" t="s">
        <v>84</v>
      </c>
      <c r="M276" s="116">
        <f>36/10*12</f>
        <v>43.2</v>
      </c>
      <c r="N276" s="116">
        <f>24/9*12</f>
        <v>32</v>
      </c>
      <c r="O276" s="116">
        <v>40</v>
      </c>
      <c r="P276" s="94">
        <v>43</v>
      </c>
      <c r="Q276" s="95">
        <v>3</v>
      </c>
      <c r="R276" s="96">
        <f>P276-Q276</f>
        <v>40</v>
      </c>
      <c r="S276" s="97">
        <v>240</v>
      </c>
      <c r="T276" s="98">
        <f t="shared" si="74"/>
        <v>9600</v>
      </c>
      <c r="U276" s="99">
        <v>20</v>
      </c>
      <c r="V276" s="100">
        <f t="shared" si="71"/>
        <v>4800</v>
      </c>
      <c r="W276" s="101">
        <f>2*10</f>
        <v>20</v>
      </c>
      <c r="X276" s="102" t="s">
        <v>866</v>
      </c>
      <c r="Y276" s="103">
        <v>240</v>
      </c>
      <c r="Z276" s="103">
        <f t="shared" si="81"/>
        <v>4800</v>
      </c>
      <c r="AA276" s="99">
        <v>0</v>
      </c>
      <c r="AB276" s="100">
        <f t="shared" si="75"/>
        <v>0</v>
      </c>
      <c r="AC276" s="104"/>
      <c r="AD276" s="105"/>
      <c r="AE276" s="105"/>
      <c r="AF276" s="105"/>
      <c r="AG276" s="99">
        <v>10</v>
      </c>
      <c r="AH276" s="100">
        <f t="shared" si="76"/>
        <v>2400</v>
      </c>
      <c r="AI276" s="106">
        <v>10</v>
      </c>
      <c r="AJ276" s="107" t="s">
        <v>866</v>
      </c>
      <c r="AK276" s="107">
        <v>240</v>
      </c>
      <c r="AL276" s="107">
        <f>AK276*AI276</f>
        <v>2400</v>
      </c>
      <c r="AM276" s="99">
        <v>10</v>
      </c>
      <c r="AN276" s="100">
        <f t="shared" si="77"/>
        <v>2400</v>
      </c>
      <c r="AO276" s="108">
        <f t="shared" si="78"/>
        <v>40</v>
      </c>
    </row>
    <row r="277" spans="1:50" ht="20.45" customHeight="1">
      <c r="A277" s="85" t="s">
        <v>1061</v>
      </c>
      <c r="B277" s="86">
        <v>242</v>
      </c>
      <c r="C277" s="87" t="s">
        <v>1062</v>
      </c>
      <c r="D277" s="88">
        <v>747145</v>
      </c>
      <c r="E277" s="88"/>
      <c r="F277" s="89" t="s">
        <v>1063</v>
      </c>
      <c r="G277" s="109" t="s">
        <v>1064</v>
      </c>
      <c r="H277" s="109"/>
      <c r="I277" s="91">
        <v>1</v>
      </c>
      <c r="J277" s="92" t="s">
        <v>83</v>
      </c>
      <c r="K277" s="93">
        <v>1000</v>
      </c>
      <c r="L277" s="93" t="s">
        <v>84</v>
      </c>
      <c r="M277" s="116">
        <f>449/10*12</f>
        <v>538.79999999999995</v>
      </c>
      <c r="N277" s="116">
        <f>431/9*12</f>
        <v>574.66666666666663</v>
      </c>
      <c r="O277" s="116">
        <v>628</v>
      </c>
      <c r="P277" s="94">
        <v>630</v>
      </c>
      <c r="Q277" s="95">
        <v>30</v>
      </c>
      <c r="R277" s="145">
        <v>550</v>
      </c>
      <c r="S277" s="110">
        <v>220</v>
      </c>
      <c r="T277" s="98">
        <f t="shared" si="74"/>
        <v>121000</v>
      </c>
      <c r="U277" s="99">
        <v>150</v>
      </c>
      <c r="V277" s="100">
        <f t="shared" si="71"/>
        <v>33000</v>
      </c>
      <c r="W277" s="101">
        <v>150</v>
      </c>
      <c r="X277" s="102" t="s">
        <v>866</v>
      </c>
      <c r="Y277" s="103">
        <v>195</v>
      </c>
      <c r="Z277" s="103">
        <f t="shared" si="81"/>
        <v>29250</v>
      </c>
      <c r="AA277" s="99">
        <v>100</v>
      </c>
      <c r="AB277" s="100">
        <f t="shared" si="75"/>
        <v>22000</v>
      </c>
      <c r="AC277" s="104">
        <v>100</v>
      </c>
      <c r="AD277" s="105" t="s">
        <v>866</v>
      </c>
      <c r="AE277" s="105">
        <v>195</v>
      </c>
      <c r="AF277" s="105">
        <f t="shared" ref="AF277:AF283" si="82">AE277*AC277</f>
        <v>19500</v>
      </c>
      <c r="AG277" s="99">
        <v>150</v>
      </c>
      <c r="AH277" s="100">
        <f t="shared" si="76"/>
        <v>33000</v>
      </c>
      <c r="AI277" s="106">
        <v>200</v>
      </c>
      <c r="AJ277" s="107" t="s">
        <v>866</v>
      </c>
      <c r="AK277" s="107">
        <v>195</v>
      </c>
      <c r="AL277" s="107">
        <f>AK277*AI277</f>
        <v>39000</v>
      </c>
      <c r="AM277" s="99">
        <v>150</v>
      </c>
      <c r="AN277" s="100">
        <f t="shared" si="77"/>
        <v>33000</v>
      </c>
      <c r="AO277" s="108">
        <f t="shared" si="78"/>
        <v>550</v>
      </c>
    </row>
    <row r="278" spans="1:50" ht="20.45" customHeight="1">
      <c r="A278" s="85" t="s">
        <v>1065</v>
      </c>
      <c r="B278" s="86">
        <v>243</v>
      </c>
      <c r="C278" s="87" t="s">
        <v>1066</v>
      </c>
      <c r="D278" s="88">
        <v>408385</v>
      </c>
      <c r="E278" s="88"/>
      <c r="F278" s="89" t="s">
        <v>1067</v>
      </c>
      <c r="G278" s="109" t="s">
        <v>1068</v>
      </c>
      <c r="H278" s="109"/>
      <c r="I278" s="91">
        <v>1</v>
      </c>
      <c r="J278" s="92" t="s">
        <v>83</v>
      </c>
      <c r="K278" s="93">
        <v>1000</v>
      </c>
      <c r="L278" s="93" t="s">
        <v>84</v>
      </c>
      <c r="M278" s="116">
        <v>3</v>
      </c>
      <c r="N278" s="116">
        <v>7</v>
      </c>
      <c r="O278" s="116">
        <v>10.666666666666666</v>
      </c>
      <c r="P278" s="94">
        <v>12</v>
      </c>
      <c r="Q278" s="95">
        <v>0</v>
      </c>
      <c r="R278" s="96">
        <f>P278-Q278</f>
        <v>12</v>
      </c>
      <c r="S278" s="97">
        <v>360</v>
      </c>
      <c r="T278" s="98">
        <f t="shared" si="74"/>
        <v>4320</v>
      </c>
      <c r="U278" s="99">
        <v>6</v>
      </c>
      <c r="V278" s="100">
        <f t="shared" si="71"/>
        <v>2160</v>
      </c>
      <c r="W278" s="101">
        <v>6</v>
      </c>
      <c r="X278" s="102" t="s">
        <v>342</v>
      </c>
      <c r="Y278" s="103">
        <v>235</v>
      </c>
      <c r="Z278" s="103">
        <f t="shared" si="81"/>
        <v>1410</v>
      </c>
      <c r="AA278" s="99">
        <v>0</v>
      </c>
      <c r="AB278" s="100">
        <f t="shared" si="75"/>
        <v>0</v>
      </c>
      <c r="AC278" s="104"/>
      <c r="AD278" s="105"/>
      <c r="AE278" s="105"/>
      <c r="AF278" s="105">
        <f t="shared" si="82"/>
        <v>0</v>
      </c>
      <c r="AG278" s="99">
        <v>6</v>
      </c>
      <c r="AH278" s="100">
        <f t="shared" si="76"/>
        <v>2160</v>
      </c>
      <c r="AI278" s="106"/>
      <c r="AJ278" s="107"/>
      <c r="AK278" s="107"/>
      <c r="AL278" s="107"/>
      <c r="AM278" s="99">
        <v>0</v>
      </c>
      <c r="AN278" s="100">
        <f t="shared" si="77"/>
        <v>0</v>
      </c>
      <c r="AO278" s="108">
        <f t="shared" si="78"/>
        <v>12</v>
      </c>
    </row>
    <row r="279" spans="1:50" ht="20.45" customHeight="1">
      <c r="A279" s="85" t="s">
        <v>1069</v>
      </c>
      <c r="B279" s="86">
        <v>244</v>
      </c>
      <c r="C279" s="87" t="s">
        <v>1070</v>
      </c>
      <c r="D279" s="88">
        <v>293943</v>
      </c>
      <c r="E279" s="88"/>
      <c r="F279" s="89" t="s">
        <v>1071</v>
      </c>
      <c r="G279" s="109" t="s">
        <v>1072</v>
      </c>
      <c r="H279" s="109"/>
      <c r="I279" s="91">
        <v>1</v>
      </c>
      <c r="J279" s="92" t="s">
        <v>83</v>
      </c>
      <c r="K279" s="93">
        <v>1000</v>
      </c>
      <c r="L279" s="93" t="s">
        <v>84</v>
      </c>
      <c r="M279" s="116">
        <f>12/10*12</f>
        <v>14.399999999999999</v>
      </c>
      <c r="N279" s="116">
        <f>11/9*12</f>
        <v>14.666666666666668</v>
      </c>
      <c r="O279" s="116">
        <v>14.666666666666666</v>
      </c>
      <c r="P279" s="94">
        <v>15</v>
      </c>
      <c r="Q279" s="95">
        <v>0</v>
      </c>
      <c r="R279" s="96">
        <f>P279-Q279</f>
        <v>15</v>
      </c>
      <c r="S279" s="97">
        <v>430</v>
      </c>
      <c r="T279" s="98">
        <f t="shared" si="74"/>
        <v>6450</v>
      </c>
      <c r="U279" s="99">
        <v>5</v>
      </c>
      <c r="V279" s="100">
        <f t="shared" si="71"/>
        <v>2150</v>
      </c>
      <c r="W279" s="101">
        <v>5</v>
      </c>
      <c r="X279" s="102" t="s">
        <v>249</v>
      </c>
      <c r="Y279" s="103">
        <v>290</v>
      </c>
      <c r="Z279" s="103">
        <f t="shared" si="81"/>
        <v>1450</v>
      </c>
      <c r="AA279" s="99">
        <v>0</v>
      </c>
      <c r="AB279" s="100">
        <f t="shared" si="75"/>
        <v>0</v>
      </c>
      <c r="AC279" s="104"/>
      <c r="AD279" s="105"/>
      <c r="AE279" s="105"/>
      <c r="AF279" s="105">
        <f t="shared" si="82"/>
        <v>0</v>
      </c>
      <c r="AG279" s="99">
        <v>5</v>
      </c>
      <c r="AH279" s="100">
        <f t="shared" si="76"/>
        <v>2150</v>
      </c>
      <c r="AI279" s="106">
        <v>5</v>
      </c>
      <c r="AJ279" s="107" t="s">
        <v>249</v>
      </c>
      <c r="AK279" s="107">
        <v>290</v>
      </c>
      <c r="AL279" s="107">
        <f>AK279*AI279</f>
        <v>1450</v>
      </c>
      <c r="AM279" s="99">
        <v>5</v>
      </c>
      <c r="AN279" s="100">
        <f t="shared" si="77"/>
        <v>2150</v>
      </c>
      <c r="AO279" s="108">
        <f t="shared" si="78"/>
        <v>15</v>
      </c>
      <c r="AT279" s="121"/>
      <c r="AU279" s="121"/>
      <c r="AV279" s="121"/>
      <c r="AW279" s="121"/>
      <c r="AX279" s="121"/>
    </row>
    <row r="280" spans="1:50" ht="20.45" customHeight="1">
      <c r="A280" s="85" t="s">
        <v>1073</v>
      </c>
      <c r="B280" s="86">
        <v>245</v>
      </c>
      <c r="C280" s="87" t="s">
        <v>1074</v>
      </c>
      <c r="D280" s="88">
        <v>407875</v>
      </c>
      <c r="E280" s="88"/>
      <c r="F280" s="89" t="s">
        <v>1075</v>
      </c>
      <c r="G280" s="109" t="s">
        <v>1076</v>
      </c>
      <c r="H280" s="109"/>
      <c r="I280" s="91">
        <v>1</v>
      </c>
      <c r="J280" s="92" t="s">
        <v>83</v>
      </c>
      <c r="K280" s="93">
        <v>1000</v>
      </c>
      <c r="L280" s="93" t="s">
        <v>84</v>
      </c>
      <c r="M280" s="116">
        <f>35.5/10*12</f>
        <v>42.599999999999994</v>
      </c>
      <c r="N280" s="116">
        <f>29/9*12</f>
        <v>38.666666666666671</v>
      </c>
      <c r="O280" s="116">
        <v>48</v>
      </c>
      <c r="P280" s="94">
        <v>50</v>
      </c>
      <c r="Q280" s="95">
        <v>0</v>
      </c>
      <c r="R280" s="96">
        <f>P280-Q280</f>
        <v>50</v>
      </c>
      <c r="S280" s="97">
        <v>580</v>
      </c>
      <c r="T280" s="98">
        <f t="shared" si="74"/>
        <v>29000</v>
      </c>
      <c r="U280" s="99">
        <v>15</v>
      </c>
      <c r="V280" s="100">
        <f t="shared" si="71"/>
        <v>8700</v>
      </c>
      <c r="W280" s="101">
        <v>15</v>
      </c>
      <c r="X280" s="102" t="s">
        <v>249</v>
      </c>
      <c r="Y280" s="103">
        <f>2*270</f>
        <v>540</v>
      </c>
      <c r="Z280" s="103">
        <f t="shared" si="81"/>
        <v>8100</v>
      </c>
      <c r="AA280" s="99">
        <v>10</v>
      </c>
      <c r="AB280" s="100">
        <f t="shared" si="75"/>
        <v>5800</v>
      </c>
      <c r="AC280" s="104">
        <v>10</v>
      </c>
      <c r="AD280" s="105" t="s">
        <v>249</v>
      </c>
      <c r="AE280" s="105">
        <v>540</v>
      </c>
      <c r="AF280" s="105">
        <f t="shared" si="82"/>
        <v>5400</v>
      </c>
      <c r="AG280" s="99">
        <v>15</v>
      </c>
      <c r="AH280" s="100">
        <f t="shared" si="76"/>
        <v>8700</v>
      </c>
      <c r="AI280" s="106">
        <v>15</v>
      </c>
      <c r="AJ280" s="107" t="s">
        <v>249</v>
      </c>
      <c r="AK280" s="107">
        <f>2*270</f>
        <v>540</v>
      </c>
      <c r="AL280" s="107">
        <f>AK280*AI280</f>
        <v>8100</v>
      </c>
      <c r="AM280" s="99">
        <v>10</v>
      </c>
      <c r="AN280" s="100">
        <f t="shared" si="77"/>
        <v>5800</v>
      </c>
      <c r="AO280" s="108">
        <f t="shared" si="78"/>
        <v>50</v>
      </c>
    </row>
    <row r="281" spans="1:50" ht="20.45" customHeight="1">
      <c r="A281" s="85" t="s">
        <v>1077</v>
      </c>
      <c r="B281" s="86">
        <v>246</v>
      </c>
      <c r="C281" s="87" t="s">
        <v>1078</v>
      </c>
      <c r="D281" s="88">
        <v>535976</v>
      </c>
      <c r="E281" s="88"/>
      <c r="F281" s="89" t="s">
        <v>1079</v>
      </c>
      <c r="G281" s="109" t="s">
        <v>1080</v>
      </c>
      <c r="H281" s="109"/>
      <c r="I281" s="91">
        <v>1</v>
      </c>
      <c r="J281" s="92" t="s">
        <v>88</v>
      </c>
      <c r="K281" s="93">
        <v>1</v>
      </c>
      <c r="L281" s="93" t="s">
        <v>73</v>
      </c>
      <c r="M281" s="116">
        <f>30*12/10</f>
        <v>36</v>
      </c>
      <c r="N281" s="116">
        <v>100</v>
      </c>
      <c r="O281" s="116">
        <v>106.66666666666667</v>
      </c>
      <c r="P281" s="94">
        <v>1050</v>
      </c>
      <c r="Q281" s="95">
        <v>1050</v>
      </c>
      <c r="R281" s="96">
        <f>P281-Q281</f>
        <v>0</v>
      </c>
      <c r="S281" s="97">
        <v>8</v>
      </c>
      <c r="T281" s="98">
        <f t="shared" si="74"/>
        <v>0</v>
      </c>
      <c r="U281" s="99">
        <v>0</v>
      </c>
      <c r="V281" s="100">
        <f t="shared" si="71"/>
        <v>0</v>
      </c>
      <c r="W281" s="101"/>
      <c r="X281" s="102"/>
      <c r="Y281" s="103"/>
      <c r="Z281" s="103"/>
      <c r="AA281" s="99">
        <v>0</v>
      </c>
      <c r="AB281" s="100">
        <f t="shared" si="75"/>
        <v>0</v>
      </c>
      <c r="AC281" s="104"/>
      <c r="AD281" s="105"/>
      <c r="AE281" s="105"/>
      <c r="AF281" s="105">
        <f t="shared" si="82"/>
        <v>0</v>
      </c>
      <c r="AG281" s="99">
        <v>0</v>
      </c>
      <c r="AH281" s="100">
        <f t="shared" si="76"/>
        <v>0</v>
      </c>
      <c r="AI281" s="106"/>
      <c r="AJ281" s="107"/>
      <c r="AK281" s="107"/>
      <c r="AL281" s="107"/>
      <c r="AM281" s="99">
        <v>0</v>
      </c>
      <c r="AN281" s="100">
        <f t="shared" si="77"/>
        <v>0</v>
      </c>
      <c r="AO281" s="108">
        <f t="shared" si="78"/>
        <v>0</v>
      </c>
    </row>
    <row r="282" spans="1:50" ht="20.45" customHeight="1">
      <c r="A282" s="85" t="s">
        <v>1081</v>
      </c>
      <c r="B282" s="86">
        <v>247</v>
      </c>
      <c r="C282" s="87" t="s">
        <v>1082</v>
      </c>
      <c r="D282" s="88">
        <v>666899</v>
      </c>
      <c r="E282" s="88"/>
      <c r="F282" s="89" t="s">
        <v>1083</v>
      </c>
      <c r="G282" s="109" t="s">
        <v>1084</v>
      </c>
      <c r="H282" s="109"/>
      <c r="I282" s="91">
        <v>1</v>
      </c>
      <c r="J282" s="92" t="s">
        <v>88</v>
      </c>
      <c r="K282" s="93">
        <v>1</v>
      </c>
      <c r="L282" s="93" t="s">
        <v>202</v>
      </c>
      <c r="M282" s="116">
        <f>220/10*12</f>
        <v>264</v>
      </c>
      <c r="N282" s="116">
        <f>315/9*12</f>
        <v>420</v>
      </c>
      <c r="O282" s="116">
        <v>306.66666666666669</v>
      </c>
      <c r="P282" s="94">
        <v>370</v>
      </c>
      <c r="Q282" s="95">
        <v>170</v>
      </c>
      <c r="R282" s="145">
        <v>100</v>
      </c>
      <c r="S282" s="97">
        <v>32</v>
      </c>
      <c r="T282" s="98">
        <f t="shared" si="74"/>
        <v>3200</v>
      </c>
      <c r="U282" s="99">
        <v>0</v>
      </c>
      <c r="V282" s="100">
        <f t="shared" si="71"/>
        <v>0</v>
      </c>
      <c r="W282" s="101"/>
      <c r="X282" s="102"/>
      <c r="Y282" s="103"/>
      <c r="Z282" s="103"/>
      <c r="AA282" s="99">
        <v>0</v>
      </c>
      <c r="AB282" s="100">
        <f t="shared" si="75"/>
        <v>0</v>
      </c>
      <c r="AC282" s="104"/>
      <c r="AD282" s="105"/>
      <c r="AE282" s="105"/>
      <c r="AF282" s="105">
        <f t="shared" si="82"/>
        <v>0</v>
      </c>
      <c r="AG282" s="99">
        <v>100</v>
      </c>
      <c r="AH282" s="100">
        <f t="shared" si="76"/>
        <v>3200</v>
      </c>
      <c r="AI282" s="106"/>
      <c r="AJ282" s="107"/>
      <c r="AK282" s="107"/>
      <c r="AL282" s="107"/>
      <c r="AM282" s="99">
        <v>0</v>
      </c>
      <c r="AN282" s="100">
        <f t="shared" si="77"/>
        <v>0</v>
      </c>
      <c r="AO282" s="108">
        <f t="shared" si="78"/>
        <v>100</v>
      </c>
    </row>
    <row r="283" spans="1:50" ht="20.45" customHeight="1">
      <c r="A283" s="85" t="s">
        <v>1085</v>
      </c>
      <c r="B283" s="86">
        <v>248</v>
      </c>
      <c r="C283" s="87" t="s">
        <v>1086</v>
      </c>
      <c r="D283" s="88">
        <v>373233</v>
      </c>
      <c r="E283" s="88"/>
      <c r="F283" s="89" t="s">
        <v>1087</v>
      </c>
      <c r="G283" s="113" t="s">
        <v>1088</v>
      </c>
      <c r="H283" s="113" t="s">
        <v>110</v>
      </c>
      <c r="I283" s="114">
        <v>1</v>
      </c>
      <c r="J283" s="118" t="s">
        <v>83</v>
      </c>
      <c r="K283" s="115">
        <v>1000</v>
      </c>
      <c r="L283" s="115" t="s">
        <v>84</v>
      </c>
      <c r="M283" s="116">
        <f>30/10*12</f>
        <v>36</v>
      </c>
      <c r="N283" s="116">
        <f>27/9*12</f>
        <v>36</v>
      </c>
      <c r="O283" s="116">
        <v>33.333333333333336</v>
      </c>
      <c r="P283" s="94">
        <v>35</v>
      </c>
      <c r="Q283" s="95">
        <v>0</v>
      </c>
      <c r="R283" s="145">
        <v>32</v>
      </c>
      <c r="S283" s="131">
        <v>278.2</v>
      </c>
      <c r="T283" s="98">
        <f t="shared" si="74"/>
        <v>8902.4</v>
      </c>
      <c r="U283" s="138">
        <v>12</v>
      </c>
      <c r="V283" s="100">
        <f t="shared" ref="V283:V314" si="83">U283*S283</f>
        <v>3338.3999999999996</v>
      </c>
      <c r="W283" s="101">
        <v>12</v>
      </c>
      <c r="X283" s="102" t="s">
        <v>110</v>
      </c>
      <c r="Y283" s="103">
        <v>278.2</v>
      </c>
      <c r="Z283" s="103">
        <f>Y283*W283</f>
        <v>3338.3999999999996</v>
      </c>
      <c r="AA283" s="138">
        <v>10</v>
      </c>
      <c r="AB283" s="100">
        <f t="shared" si="75"/>
        <v>2782</v>
      </c>
      <c r="AC283" s="104">
        <v>10</v>
      </c>
      <c r="AD283" s="105" t="s">
        <v>110</v>
      </c>
      <c r="AE283" s="105">
        <v>278.2</v>
      </c>
      <c r="AF283" s="105">
        <f t="shared" si="82"/>
        <v>2782</v>
      </c>
      <c r="AG283" s="138">
        <v>10</v>
      </c>
      <c r="AH283" s="100">
        <f t="shared" si="76"/>
        <v>2782</v>
      </c>
      <c r="AI283" s="106"/>
      <c r="AJ283" s="107"/>
      <c r="AK283" s="107"/>
      <c r="AL283" s="107"/>
      <c r="AM283" s="138">
        <v>0</v>
      </c>
      <c r="AN283" s="100">
        <f t="shared" si="77"/>
        <v>0</v>
      </c>
      <c r="AO283" s="108">
        <f t="shared" si="78"/>
        <v>32</v>
      </c>
    </row>
    <row r="284" spans="1:50" ht="20.45" customHeight="1">
      <c r="A284" s="85" t="s">
        <v>1089</v>
      </c>
      <c r="B284" s="86">
        <v>249</v>
      </c>
      <c r="C284" s="87" t="s">
        <v>1090</v>
      </c>
      <c r="D284" s="88">
        <v>301731</v>
      </c>
      <c r="E284" s="88"/>
      <c r="F284" s="89" t="s">
        <v>1091</v>
      </c>
      <c r="G284" s="113" t="s">
        <v>1092</v>
      </c>
      <c r="H284" s="113"/>
      <c r="I284" s="114">
        <v>1</v>
      </c>
      <c r="J284" s="118" t="s">
        <v>184</v>
      </c>
      <c r="K284" s="115">
        <v>1000</v>
      </c>
      <c r="L284" s="115" t="s">
        <v>185</v>
      </c>
      <c r="M284" s="116">
        <f>120/10*12</f>
        <v>144</v>
      </c>
      <c r="N284" s="116">
        <f>119/9*12</f>
        <v>158.66666666666666</v>
      </c>
      <c r="O284" s="116">
        <v>165.33333333333334</v>
      </c>
      <c r="P284" s="94">
        <v>170</v>
      </c>
      <c r="Q284" s="95">
        <v>20</v>
      </c>
      <c r="R284" s="96">
        <f>P284-Q284</f>
        <v>150</v>
      </c>
      <c r="S284" s="97">
        <v>490</v>
      </c>
      <c r="T284" s="98">
        <f t="shared" si="74"/>
        <v>73500</v>
      </c>
      <c r="U284" s="138">
        <v>40</v>
      </c>
      <c r="V284" s="100">
        <f t="shared" si="83"/>
        <v>19600</v>
      </c>
      <c r="W284" s="101">
        <v>40</v>
      </c>
      <c r="X284" s="102" t="s">
        <v>342</v>
      </c>
      <c r="Y284" s="103">
        <v>420</v>
      </c>
      <c r="Z284" s="103">
        <f>Y284*W284</f>
        <v>16800</v>
      </c>
      <c r="AA284" s="138">
        <v>40</v>
      </c>
      <c r="AB284" s="100">
        <f t="shared" si="75"/>
        <v>19600</v>
      </c>
      <c r="AC284" s="104"/>
      <c r="AD284" s="105"/>
      <c r="AE284" s="105"/>
      <c r="AF284" s="105"/>
      <c r="AG284" s="138">
        <v>40</v>
      </c>
      <c r="AH284" s="100">
        <f t="shared" si="76"/>
        <v>19600</v>
      </c>
      <c r="AI284" s="106">
        <v>40</v>
      </c>
      <c r="AJ284" s="107" t="s">
        <v>342</v>
      </c>
      <c r="AK284" s="107">
        <v>420</v>
      </c>
      <c r="AL284" s="107">
        <f>AK284*AI284</f>
        <v>16800</v>
      </c>
      <c r="AM284" s="138">
        <v>30</v>
      </c>
      <c r="AN284" s="100">
        <f t="shared" si="77"/>
        <v>14700</v>
      </c>
      <c r="AO284" s="108">
        <f t="shared" si="78"/>
        <v>150</v>
      </c>
    </row>
    <row r="285" spans="1:50" ht="20.45" customHeight="1">
      <c r="A285" s="85" t="s">
        <v>1093</v>
      </c>
      <c r="B285" s="86">
        <v>250</v>
      </c>
      <c r="C285" s="87" t="s">
        <v>1094</v>
      </c>
      <c r="D285" s="88">
        <v>865707</v>
      </c>
      <c r="E285" s="88"/>
      <c r="F285" s="89" t="s">
        <v>1095</v>
      </c>
      <c r="G285" s="109" t="s">
        <v>1096</v>
      </c>
      <c r="H285" s="109"/>
      <c r="I285" s="91">
        <v>1</v>
      </c>
      <c r="J285" s="92" t="s">
        <v>88</v>
      </c>
      <c r="K285" s="93">
        <v>1</v>
      </c>
      <c r="L285" s="93" t="s">
        <v>202</v>
      </c>
      <c r="M285" s="116">
        <f>340*12/10</f>
        <v>408</v>
      </c>
      <c r="N285" s="116">
        <f>350/9*12</f>
        <v>466.66666666666663</v>
      </c>
      <c r="O285" s="116">
        <v>466.66666666666669</v>
      </c>
      <c r="P285" s="94">
        <v>490</v>
      </c>
      <c r="Q285" s="95">
        <v>190</v>
      </c>
      <c r="R285" s="145">
        <v>100</v>
      </c>
      <c r="S285" s="131">
        <v>100</v>
      </c>
      <c r="T285" s="98">
        <f t="shared" si="74"/>
        <v>10000</v>
      </c>
      <c r="U285" s="99">
        <v>0</v>
      </c>
      <c r="V285" s="100">
        <f t="shared" si="83"/>
        <v>0</v>
      </c>
      <c r="W285" s="101"/>
      <c r="X285" s="102"/>
      <c r="Y285" s="103"/>
      <c r="Z285" s="103"/>
      <c r="AA285" s="99">
        <v>0</v>
      </c>
      <c r="AB285" s="100">
        <f t="shared" si="75"/>
        <v>0</v>
      </c>
      <c r="AC285" s="104"/>
      <c r="AD285" s="105"/>
      <c r="AE285" s="105"/>
      <c r="AF285" s="105"/>
      <c r="AG285" s="99">
        <v>100</v>
      </c>
      <c r="AH285" s="100">
        <f t="shared" si="76"/>
        <v>10000</v>
      </c>
      <c r="AI285" s="106"/>
      <c r="AJ285" s="107"/>
      <c r="AK285" s="107"/>
      <c r="AL285" s="107">
        <f>AK285*AI285</f>
        <v>0</v>
      </c>
      <c r="AM285" s="99">
        <v>0</v>
      </c>
      <c r="AN285" s="100">
        <f t="shared" si="77"/>
        <v>0</v>
      </c>
      <c r="AO285" s="108">
        <f t="shared" si="78"/>
        <v>100</v>
      </c>
    </row>
    <row r="286" spans="1:50" ht="20.45" customHeight="1">
      <c r="A286" s="85" t="s">
        <v>1097</v>
      </c>
      <c r="B286" s="86">
        <v>251</v>
      </c>
      <c r="C286" s="87" t="s">
        <v>1098</v>
      </c>
      <c r="D286" s="88">
        <v>313328</v>
      </c>
      <c r="E286" s="88"/>
      <c r="F286" s="89" t="s">
        <v>1099</v>
      </c>
      <c r="G286" s="109" t="s">
        <v>1100</v>
      </c>
      <c r="H286" s="109"/>
      <c r="I286" s="91">
        <v>1</v>
      </c>
      <c r="J286" s="92" t="s">
        <v>83</v>
      </c>
      <c r="K286" s="93">
        <v>250</v>
      </c>
      <c r="L286" s="93" t="s">
        <v>84</v>
      </c>
      <c r="M286" s="116">
        <f>1000/250*12/10</f>
        <v>4.8</v>
      </c>
      <c r="N286" s="116">
        <f>10/9*12</f>
        <v>13.333333333333334</v>
      </c>
      <c r="O286" s="116">
        <v>16</v>
      </c>
      <c r="P286" s="94">
        <v>16</v>
      </c>
      <c r="Q286" s="95">
        <v>0</v>
      </c>
      <c r="R286" s="145">
        <v>20</v>
      </c>
      <c r="S286" s="97">
        <v>647.5</v>
      </c>
      <c r="T286" s="98">
        <f t="shared" si="74"/>
        <v>12950</v>
      </c>
      <c r="U286" s="99">
        <v>0</v>
      </c>
      <c r="V286" s="100">
        <f t="shared" si="83"/>
        <v>0</v>
      </c>
      <c r="W286" s="306"/>
      <c r="X286" s="102"/>
      <c r="Y286" s="103"/>
      <c r="Z286" s="103"/>
      <c r="AA286" s="99">
        <v>10</v>
      </c>
      <c r="AB286" s="100">
        <f t="shared" si="75"/>
        <v>6475</v>
      </c>
      <c r="AC286" s="104">
        <v>10</v>
      </c>
      <c r="AD286" s="105" t="s">
        <v>203</v>
      </c>
      <c r="AE286" s="105">
        <v>647.35</v>
      </c>
      <c r="AF286" s="105">
        <f t="shared" ref="AF286:AF292" si="84">AE286*AC286</f>
        <v>6473.5</v>
      </c>
      <c r="AG286" s="99">
        <v>10</v>
      </c>
      <c r="AH286" s="100">
        <f t="shared" si="76"/>
        <v>6475</v>
      </c>
      <c r="AI286" s="106">
        <v>10</v>
      </c>
      <c r="AJ286" s="107" t="s">
        <v>203</v>
      </c>
      <c r="AK286" s="107">
        <v>647.35</v>
      </c>
      <c r="AL286" s="107">
        <f>AK286*AI286</f>
        <v>6473.5</v>
      </c>
      <c r="AM286" s="99">
        <v>0</v>
      </c>
      <c r="AN286" s="100">
        <f t="shared" si="77"/>
        <v>0</v>
      </c>
      <c r="AO286" s="108">
        <f t="shared" si="78"/>
        <v>20</v>
      </c>
    </row>
    <row r="287" spans="1:50" ht="20.45" customHeight="1">
      <c r="A287" s="85" t="s">
        <v>1109</v>
      </c>
      <c r="B287" s="86">
        <v>254</v>
      </c>
      <c r="C287" s="87" t="s">
        <v>1110</v>
      </c>
      <c r="D287" s="141">
        <v>858568</v>
      </c>
      <c r="E287" s="141"/>
      <c r="F287" s="89" t="s">
        <v>1111</v>
      </c>
      <c r="G287" s="109" t="s">
        <v>1112</v>
      </c>
      <c r="H287" s="109"/>
      <c r="I287" s="91">
        <v>1</v>
      </c>
      <c r="J287" s="92" t="s">
        <v>51</v>
      </c>
      <c r="K287" s="93">
        <v>1</v>
      </c>
      <c r="L287" s="93" t="s">
        <v>52</v>
      </c>
      <c r="M287" s="116">
        <f>26*12/10</f>
        <v>31.2</v>
      </c>
      <c r="N287" s="116">
        <f>31/9*12</f>
        <v>41.333333333333336</v>
      </c>
      <c r="O287" s="116">
        <v>80</v>
      </c>
      <c r="P287" s="94">
        <v>84</v>
      </c>
      <c r="Q287" s="95">
        <v>0</v>
      </c>
      <c r="R287" s="145">
        <v>60</v>
      </c>
      <c r="S287" s="97">
        <v>100</v>
      </c>
      <c r="T287" s="98">
        <f t="shared" si="74"/>
        <v>6000</v>
      </c>
      <c r="U287" s="99">
        <v>0</v>
      </c>
      <c r="V287" s="100">
        <f t="shared" si="83"/>
        <v>0</v>
      </c>
      <c r="W287" s="101"/>
      <c r="X287" s="102"/>
      <c r="Y287" s="103"/>
      <c r="Z287" s="103"/>
      <c r="AA287" s="99">
        <v>0</v>
      </c>
      <c r="AB287" s="100">
        <f t="shared" si="75"/>
        <v>0</v>
      </c>
      <c r="AC287" s="104"/>
      <c r="AD287" s="105"/>
      <c r="AE287" s="105"/>
      <c r="AF287" s="105">
        <f t="shared" si="84"/>
        <v>0</v>
      </c>
      <c r="AG287" s="99">
        <v>60</v>
      </c>
      <c r="AH287" s="100">
        <f t="shared" si="76"/>
        <v>6000</v>
      </c>
      <c r="AI287" s="106"/>
      <c r="AJ287" s="107"/>
      <c r="AK287" s="107"/>
      <c r="AL287" s="107">
        <f>AK287*AI287</f>
        <v>0</v>
      </c>
      <c r="AM287" s="99">
        <v>0</v>
      </c>
      <c r="AN287" s="100">
        <f t="shared" si="77"/>
        <v>0</v>
      </c>
      <c r="AO287" s="108">
        <f t="shared" si="78"/>
        <v>60</v>
      </c>
    </row>
    <row r="288" spans="1:50" ht="20.45" customHeight="1">
      <c r="A288" s="85" t="s">
        <v>1113</v>
      </c>
      <c r="B288" s="86">
        <v>255</v>
      </c>
      <c r="C288" s="87" t="s">
        <v>1114</v>
      </c>
      <c r="D288" s="88">
        <v>901940</v>
      </c>
      <c r="E288" s="88"/>
      <c r="F288" s="89" t="s">
        <v>1115</v>
      </c>
      <c r="G288" s="109" t="s">
        <v>1116</v>
      </c>
      <c r="H288" s="109" t="s">
        <v>110</v>
      </c>
      <c r="I288" s="91">
        <v>1</v>
      </c>
      <c r="J288" s="92" t="s">
        <v>51</v>
      </c>
      <c r="K288" s="93">
        <v>1</v>
      </c>
      <c r="L288" s="93" t="s">
        <v>540</v>
      </c>
      <c r="M288" s="116">
        <f>120*12/10</f>
        <v>144</v>
      </c>
      <c r="N288" s="116">
        <f>130/9*12</f>
        <v>173.33333333333334</v>
      </c>
      <c r="O288" s="116">
        <v>156</v>
      </c>
      <c r="P288" s="94">
        <v>180</v>
      </c>
      <c r="Q288" s="95">
        <v>0</v>
      </c>
      <c r="R288" s="96">
        <f>P288-Q288</f>
        <v>180</v>
      </c>
      <c r="S288" s="97">
        <v>16.05</v>
      </c>
      <c r="T288" s="98">
        <f t="shared" si="74"/>
        <v>2889</v>
      </c>
      <c r="U288" s="99">
        <v>60</v>
      </c>
      <c r="V288" s="100">
        <f t="shared" si="83"/>
        <v>963</v>
      </c>
      <c r="W288" s="101">
        <v>60</v>
      </c>
      <c r="X288" s="102" t="s">
        <v>160</v>
      </c>
      <c r="Y288" s="103">
        <f>192/12</f>
        <v>16</v>
      </c>
      <c r="Z288" s="103">
        <f>Y288*W288</f>
        <v>960</v>
      </c>
      <c r="AA288" s="99">
        <v>60</v>
      </c>
      <c r="AB288" s="100">
        <f t="shared" si="75"/>
        <v>963</v>
      </c>
      <c r="AC288" s="104">
        <v>60</v>
      </c>
      <c r="AD288" s="105" t="s">
        <v>554</v>
      </c>
      <c r="AE288" s="105">
        <f>192/12</f>
        <v>16</v>
      </c>
      <c r="AF288" s="105">
        <f t="shared" si="84"/>
        <v>960</v>
      </c>
      <c r="AG288" s="99">
        <v>60</v>
      </c>
      <c r="AH288" s="100">
        <f t="shared" si="76"/>
        <v>963</v>
      </c>
      <c r="AI288" s="106">
        <v>60</v>
      </c>
      <c r="AJ288" s="107" t="s">
        <v>160</v>
      </c>
      <c r="AK288" s="107">
        <f>192/12</f>
        <v>16</v>
      </c>
      <c r="AL288" s="107">
        <f>AK288*AI288</f>
        <v>960</v>
      </c>
      <c r="AM288" s="99">
        <v>0</v>
      </c>
      <c r="AN288" s="100">
        <f t="shared" si="77"/>
        <v>0</v>
      </c>
      <c r="AO288" s="108">
        <f t="shared" si="78"/>
        <v>180</v>
      </c>
    </row>
    <row r="289" spans="1:41" ht="20.45" customHeight="1">
      <c r="A289" s="85" t="s">
        <v>1117</v>
      </c>
      <c r="B289" s="86">
        <v>256</v>
      </c>
      <c r="C289" s="87" t="s">
        <v>1118</v>
      </c>
      <c r="D289" s="88">
        <v>871385</v>
      </c>
      <c r="E289" s="88"/>
      <c r="F289" s="89" t="s">
        <v>1115</v>
      </c>
      <c r="G289" s="109" t="s">
        <v>1119</v>
      </c>
      <c r="H289" s="109" t="s">
        <v>110</v>
      </c>
      <c r="I289" s="91">
        <v>1</v>
      </c>
      <c r="J289" s="92" t="s">
        <v>51</v>
      </c>
      <c r="K289" s="93">
        <v>1</v>
      </c>
      <c r="L289" s="93" t="s">
        <v>178</v>
      </c>
      <c r="M289" s="116">
        <f>133*12/10</f>
        <v>159.6</v>
      </c>
      <c r="N289" s="116">
        <f>137/9*12</f>
        <v>182.66666666666666</v>
      </c>
      <c r="O289" s="116">
        <v>205.33333333333334</v>
      </c>
      <c r="P289" s="94">
        <v>240</v>
      </c>
      <c r="Q289" s="95">
        <v>0</v>
      </c>
      <c r="R289" s="96">
        <f>P289-Q289</f>
        <v>240</v>
      </c>
      <c r="S289" s="97">
        <v>107</v>
      </c>
      <c r="T289" s="98">
        <f t="shared" si="74"/>
        <v>25680</v>
      </c>
      <c r="U289" s="99">
        <v>60</v>
      </c>
      <c r="V289" s="100">
        <f t="shared" si="83"/>
        <v>6420</v>
      </c>
      <c r="W289" s="101">
        <v>60</v>
      </c>
      <c r="X289" s="102" t="s">
        <v>61</v>
      </c>
      <c r="Y289" s="103">
        <v>107</v>
      </c>
      <c r="Z289" s="103">
        <f>Y289*W289</f>
        <v>6420</v>
      </c>
      <c r="AA289" s="99">
        <v>60</v>
      </c>
      <c r="AB289" s="100">
        <f t="shared" si="75"/>
        <v>6420</v>
      </c>
      <c r="AC289" s="104">
        <v>60</v>
      </c>
      <c r="AD289" s="105" t="s">
        <v>61</v>
      </c>
      <c r="AE289" s="105">
        <v>107</v>
      </c>
      <c r="AF289" s="105">
        <f t="shared" si="84"/>
        <v>6420</v>
      </c>
      <c r="AG289" s="99">
        <v>60</v>
      </c>
      <c r="AH289" s="100">
        <f t="shared" si="76"/>
        <v>6420</v>
      </c>
      <c r="AI289" s="106"/>
      <c r="AJ289" s="107"/>
      <c r="AK289" s="107"/>
      <c r="AL289" s="107"/>
      <c r="AM289" s="99">
        <v>60</v>
      </c>
      <c r="AN289" s="100">
        <f t="shared" si="77"/>
        <v>6420</v>
      </c>
      <c r="AO289" s="108">
        <f t="shared" si="78"/>
        <v>240</v>
      </c>
    </row>
    <row r="290" spans="1:41" ht="20.45" customHeight="1">
      <c r="A290" s="85" t="s">
        <v>1120</v>
      </c>
      <c r="B290" s="86">
        <v>257</v>
      </c>
      <c r="C290" s="87" t="s">
        <v>1121</v>
      </c>
      <c r="D290" s="88">
        <v>262974</v>
      </c>
      <c r="E290" s="88"/>
      <c r="F290" s="89" t="s">
        <v>1122</v>
      </c>
      <c r="G290" s="109" t="s">
        <v>1123</v>
      </c>
      <c r="H290" s="109"/>
      <c r="I290" s="91">
        <v>1</v>
      </c>
      <c r="J290" s="92" t="s">
        <v>83</v>
      </c>
      <c r="K290" s="93">
        <v>100</v>
      </c>
      <c r="L290" s="93" t="s">
        <v>84</v>
      </c>
      <c r="M290" s="116">
        <v>1</v>
      </c>
      <c r="N290" s="116">
        <v>0</v>
      </c>
      <c r="O290" s="116">
        <v>1.3333333333333333</v>
      </c>
      <c r="P290" s="94">
        <v>1</v>
      </c>
      <c r="Q290" s="95">
        <v>1</v>
      </c>
      <c r="R290" s="112">
        <v>3</v>
      </c>
      <c r="S290" s="97">
        <v>601</v>
      </c>
      <c r="T290" s="98">
        <f t="shared" si="74"/>
        <v>1803</v>
      </c>
      <c r="U290" s="99">
        <v>0</v>
      </c>
      <c r="V290" s="100">
        <f t="shared" si="83"/>
        <v>0</v>
      </c>
      <c r="W290" s="101"/>
      <c r="X290" s="102"/>
      <c r="Y290" s="103"/>
      <c r="Z290" s="103"/>
      <c r="AA290" s="99">
        <v>3</v>
      </c>
      <c r="AB290" s="100">
        <f t="shared" si="75"/>
        <v>1803</v>
      </c>
      <c r="AC290" s="104">
        <v>3</v>
      </c>
      <c r="AD290" s="105" t="s">
        <v>122</v>
      </c>
      <c r="AE290" s="105">
        <v>600</v>
      </c>
      <c r="AF290" s="105">
        <f t="shared" si="84"/>
        <v>1800</v>
      </c>
      <c r="AG290" s="99">
        <v>0</v>
      </c>
      <c r="AH290" s="100">
        <f t="shared" si="76"/>
        <v>0</v>
      </c>
      <c r="AI290" s="106"/>
      <c r="AJ290" s="107"/>
      <c r="AK290" s="107"/>
      <c r="AL290" s="107"/>
      <c r="AM290" s="99">
        <v>0</v>
      </c>
      <c r="AN290" s="100">
        <f t="shared" si="77"/>
        <v>0</v>
      </c>
      <c r="AO290" s="108">
        <f t="shared" si="78"/>
        <v>3</v>
      </c>
    </row>
    <row r="291" spans="1:41" ht="20.45" customHeight="1">
      <c r="A291" s="85" t="s">
        <v>1128</v>
      </c>
      <c r="B291" s="86">
        <v>259</v>
      </c>
      <c r="C291" s="87" t="s">
        <v>1129</v>
      </c>
      <c r="D291" s="88">
        <v>237007</v>
      </c>
      <c r="E291" s="88"/>
      <c r="F291" s="89" t="s">
        <v>1130</v>
      </c>
      <c r="G291" s="109" t="s">
        <v>1131</v>
      </c>
      <c r="H291" s="109" t="s">
        <v>110</v>
      </c>
      <c r="I291" s="91">
        <v>1</v>
      </c>
      <c r="J291" s="92" t="s">
        <v>83</v>
      </c>
      <c r="K291" s="93">
        <v>1000</v>
      </c>
      <c r="L291" s="93" t="s">
        <v>84</v>
      </c>
      <c r="M291" s="116">
        <f>28/10*12</f>
        <v>33.599999999999994</v>
      </c>
      <c r="N291" s="116">
        <f>38*12/9</f>
        <v>50.666666666666664</v>
      </c>
      <c r="O291" s="116">
        <v>46.666666666666664</v>
      </c>
      <c r="P291" s="94">
        <v>50</v>
      </c>
      <c r="Q291" s="95">
        <v>0</v>
      </c>
      <c r="R291" s="112">
        <v>60</v>
      </c>
      <c r="S291" s="97">
        <f>0.35162*1000</f>
        <v>351.62</v>
      </c>
      <c r="T291" s="98">
        <f t="shared" si="74"/>
        <v>21097.200000000001</v>
      </c>
      <c r="U291" s="99">
        <v>25</v>
      </c>
      <c r="V291" s="100">
        <f t="shared" si="83"/>
        <v>8790.5</v>
      </c>
      <c r="W291" s="101">
        <f>10+15</f>
        <v>25</v>
      </c>
      <c r="X291" s="102" t="s">
        <v>1132</v>
      </c>
      <c r="Y291" s="103">
        <v>330</v>
      </c>
      <c r="Z291" s="103">
        <f>Y291*W291</f>
        <v>8250</v>
      </c>
      <c r="AA291" s="99">
        <v>10</v>
      </c>
      <c r="AB291" s="100">
        <f t="shared" si="75"/>
        <v>3516.2</v>
      </c>
      <c r="AC291" s="104">
        <v>10</v>
      </c>
      <c r="AD291" s="105" t="s">
        <v>1132</v>
      </c>
      <c r="AE291" s="105">
        <v>330</v>
      </c>
      <c r="AF291" s="105">
        <f t="shared" si="84"/>
        <v>3300</v>
      </c>
      <c r="AG291" s="99">
        <v>15</v>
      </c>
      <c r="AH291" s="100">
        <f t="shared" si="76"/>
        <v>5274.3</v>
      </c>
      <c r="AI291" s="106"/>
      <c r="AJ291" s="107"/>
      <c r="AK291" s="107"/>
      <c r="AL291" s="107">
        <f t="shared" ref="AL291:AL296" si="85">AK291*AI291</f>
        <v>0</v>
      </c>
      <c r="AM291" s="99">
        <v>10</v>
      </c>
      <c r="AN291" s="100">
        <f t="shared" si="77"/>
        <v>3516.2</v>
      </c>
      <c r="AO291" s="108">
        <f t="shared" si="78"/>
        <v>60</v>
      </c>
    </row>
    <row r="292" spans="1:41" ht="20.45" customHeight="1">
      <c r="A292" s="85" t="s">
        <v>1137</v>
      </c>
      <c r="B292" s="86">
        <v>261</v>
      </c>
      <c r="C292" s="87">
        <v>419422</v>
      </c>
      <c r="D292" s="88">
        <v>400589</v>
      </c>
      <c r="E292" s="88"/>
      <c r="F292" s="117" t="s">
        <v>1138</v>
      </c>
      <c r="G292" s="113" t="s">
        <v>1139</v>
      </c>
      <c r="H292" s="113"/>
      <c r="I292" s="114">
        <v>1</v>
      </c>
      <c r="J292" s="118" t="s">
        <v>83</v>
      </c>
      <c r="K292" s="115">
        <v>1000</v>
      </c>
      <c r="L292" s="115" t="s">
        <v>84</v>
      </c>
      <c r="M292" s="116"/>
      <c r="N292" s="116"/>
      <c r="O292" s="116"/>
      <c r="P292" s="94"/>
      <c r="Q292" s="95"/>
      <c r="R292" s="112">
        <v>12</v>
      </c>
      <c r="S292" s="125">
        <v>500</v>
      </c>
      <c r="T292" s="98">
        <f t="shared" si="74"/>
        <v>6000</v>
      </c>
      <c r="U292" s="138">
        <v>3</v>
      </c>
      <c r="V292" s="100">
        <f t="shared" si="83"/>
        <v>1500</v>
      </c>
      <c r="W292" s="101">
        <v>3</v>
      </c>
      <c r="X292" s="102" t="s">
        <v>261</v>
      </c>
      <c r="Y292" s="103">
        <v>500</v>
      </c>
      <c r="Z292" s="103">
        <f>Y292*W292</f>
        <v>1500</v>
      </c>
      <c r="AA292" s="138">
        <v>3</v>
      </c>
      <c r="AB292" s="100">
        <f t="shared" si="75"/>
        <v>1500</v>
      </c>
      <c r="AC292" s="104">
        <v>3</v>
      </c>
      <c r="AD292" s="105" t="s">
        <v>261</v>
      </c>
      <c r="AE292" s="105">
        <v>500</v>
      </c>
      <c r="AF292" s="105">
        <f t="shared" si="84"/>
        <v>1500</v>
      </c>
      <c r="AG292" s="138">
        <v>6</v>
      </c>
      <c r="AH292" s="100">
        <f t="shared" si="76"/>
        <v>3000</v>
      </c>
      <c r="AI292" s="106"/>
      <c r="AJ292" s="107"/>
      <c r="AK292" s="107"/>
      <c r="AL292" s="107">
        <f t="shared" si="85"/>
        <v>0</v>
      </c>
      <c r="AM292" s="138">
        <v>0</v>
      </c>
      <c r="AN292" s="100">
        <f t="shared" si="77"/>
        <v>0</v>
      </c>
      <c r="AO292" s="108">
        <f t="shared" si="78"/>
        <v>12</v>
      </c>
    </row>
    <row r="293" spans="1:41" ht="20.45" customHeight="1">
      <c r="A293" s="85" t="s">
        <v>1140</v>
      </c>
      <c r="B293" s="86">
        <v>262</v>
      </c>
      <c r="C293" s="87" t="s">
        <v>1141</v>
      </c>
      <c r="D293" s="146">
        <v>269163</v>
      </c>
      <c r="E293" s="146"/>
      <c r="F293" s="89" t="s">
        <v>1142</v>
      </c>
      <c r="G293" s="109" t="s">
        <v>1143</v>
      </c>
      <c r="H293" s="109" t="s">
        <v>110</v>
      </c>
      <c r="I293" s="91">
        <v>1</v>
      </c>
      <c r="J293" s="93" t="s">
        <v>476</v>
      </c>
      <c r="K293" s="93">
        <v>1</v>
      </c>
      <c r="L293" s="93" t="s">
        <v>477</v>
      </c>
      <c r="M293" s="116">
        <f>6500/10*12</f>
        <v>7800</v>
      </c>
      <c r="N293" s="116">
        <f>8000/9*12</f>
        <v>10666.666666666668</v>
      </c>
      <c r="O293" s="116">
        <v>10000</v>
      </c>
      <c r="P293" s="94">
        <v>500</v>
      </c>
      <c r="Q293" s="95">
        <v>0</v>
      </c>
      <c r="R293" s="96">
        <v>0</v>
      </c>
      <c r="S293" s="147">
        <f>880/500</f>
        <v>1.76</v>
      </c>
      <c r="T293" s="98">
        <f t="shared" si="74"/>
        <v>0</v>
      </c>
      <c r="U293" s="148">
        <v>0</v>
      </c>
      <c r="V293" s="100">
        <f t="shared" si="83"/>
        <v>0</v>
      </c>
      <c r="W293" s="101"/>
      <c r="X293" s="102"/>
      <c r="Y293" s="103"/>
      <c r="Z293" s="103"/>
      <c r="AA293" s="148">
        <v>0</v>
      </c>
      <c r="AB293" s="100">
        <f t="shared" si="75"/>
        <v>0</v>
      </c>
      <c r="AC293" s="104"/>
      <c r="AD293" s="105"/>
      <c r="AE293" s="105"/>
      <c r="AF293" s="105"/>
      <c r="AG293" s="99">
        <v>0</v>
      </c>
      <c r="AH293" s="100">
        <f t="shared" si="76"/>
        <v>0</v>
      </c>
      <c r="AI293" s="106"/>
      <c r="AJ293" s="107"/>
      <c r="AK293" s="107"/>
      <c r="AL293" s="107">
        <f t="shared" si="85"/>
        <v>0</v>
      </c>
      <c r="AM293" s="99">
        <v>0</v>
      </c>
      <c r="AN293" s="100">
        <f t="shared" si="77"/>
        <v>0</v>
      </c>
      <c r="AO293" s="108">
        <f t="shared" si="78"/>
        <v>0</v>
      </c>
    </row>
    <row r="294" spans="1:41" ht="20.45" customHeight="1">
      <c r="A294" s="85" t="s">
        <v>1144</v>
      </c>
      <c r="B294" s="86">
        <v>263</v>
      </c>
      <c r="C294" s="87" t="s">
        <v>1145</v>
      </c>
      <c r="D294" s="88">
        <v>862174</v>
      </c>
      <c r="E294" s="88"/>
      <c r="F294" s="89" t="s">
        <v>1146</v>
      </c>
      <c r="G294" s="113" t="s">
        <v>1147</v>
      </c>
      <c r="H294" s="113"/>
      <c r="I294" s="114">
        <v>1</v>
      </c>
      <c r="J294" s="92" t="s">
        <v>88</v>
      </c>
      <c r="K294" s="93">
        <v>1</v>
      </c>
      <c r="L294" s="93" t="s">
        <v>73</v>
      </c>
      <c r="M294" s="116">
        <f>1690/10*12</f>
        <v>2028</v>
      </c>
      <c r="N294" s="116">
        <f>1630/9*12</f>
        <v>2173.3333333333335</v>
      </c>
      <c r="O294" s="116">
        <v>2253.3333333333335</v>
      </c>
      <c r="P294" s="94">
        <v>2300</v>
      </c>
      <c r="Q294" s="95">
        <v>0</v>
      </c>
      <c r="R294" s="145">
        <v>2100</v>
      </c>
      <c r="S294" s="97">
        <v>294.25</v>
      </c>
      <c r="T294" s="98">
        <f t="shared" si="74"/>
        <v>617925</v>
      </c>
      <c r="U294" s="99">
        <v>500</v>
      </c>
      <c r="V294" s="100">
        <f t="shared" si="83"/>
        <v>147125</v>
      </c>
      <c r="W294" s="101">
        <v>500</v>
      </c>
      <c r="X294" s="102" t="s">
        <v>1148</v>
      </c>
      <c r="Y294" s="103">
        <v>260</v>
      </c>
      <c r="Z294" s="103">
        <f>Y294*W294</f>
        <v>130000</v>
      </c>
      <c r="AA294" s="99">
        <v>500</v>
      </c>
      <c r="AB294" s="100">
        <f t="shared" si="75"/>
        <v>147125</v>
      </c>
      <c r="AC294" s="104">
        <v>500</v>
      </c>
      <c r="AD294" s="105" t="s">
        <v>1148</v>
      </c>
      <c r="AE294" s="105">
        <v>260</v>
      </c>
      <c r="AF294" s="105">
        <f>AE294*AC294</f>
        <v>130000</v>
      </c>
      <c r="AG294" s="99">
        <v>600</v>
      </c>
      <c r="AH294" s="100">
        <f t="shared" si="76"/>
        <v>176550</v>
      </c>
      <c r="AI294" s="106">
        <v>600</v>
      </c>
      <c r="AJ294" s="107" t="s">
        <v>1148</v>
      </c>
      <c r="AK294" s="107">
        <v>260</v>
      </c>
      <c r="AL294" s="107">
        <f t="shared" si="85"/>
        <v>156000</v>
      </c>
      <c r="AM294" s="99">
        <v>500</v>
      </c>
      <c r="AN294" s="100">
        <f t="shared" si="77"/>
        <v>147125</v>
      </c>
      <c r="AO294" s="108">
        <f t="shared" si="78"/>
        <v>2100</v>
      </c>
    </row>
    <row r="295" spans="1:41" ht="20.45" customHeight="1">
      <c r="A295" s="85" t="s">
        <v>1149</v>
      </c>
      <c r="B295" s="86">
        <v>264</v>
      </c>
      <c r="C295" s="87">
        <v>1190445</v>
      </c>
      <c r="D295" s="88">
        <v>1164842</v>
      </c>
      <c r="E295" s="88"/>
      <c r="F295" s="89" t="s">
        <v>405</v>
      </c>
      <c r="G295" s="113" t="s">
        <v>1150</v>
      </c>
      <c r="H295" s="113"/>
      <c r="I295" s="114">
        <v>1</v>
      </c>
      <c r="J295" s="92" t="s">
        <v>88</v>
      </c>
      <c r="K295" s="93">
        <v>1</v>
      </c>
      <c r="L295" s="93" t="s">
        <v>202</v>
      </c>
      <c r="M295" s="116">
        <f>446/10*12</f>
        <v>535.20000000000005</v>
      </c>
      <c r="N295" s="116">
        <f>412/9*12</f>
        <v>549.33333333333337</v>
      </c>
      <c r="O295" s="116">
        <v>296</v>
      </c>
      <c r="P295" s="94">
        <v>400</v>
      </c>
      <c r="Q295" s="95">
        <v>0</v>
      </c>
      <c r="R295" s="145">
        <v>200</v>
      </c>
      <c r="S295" s="125">
        <v>642</v>
      </c>
      <c r="T295" s="98">
        <f t="shared" ref="T295:T326" si="86">S295*R295</f>
        <v>128400</v>
      </c>
      <c r="U295" s="99">
        <v>0</v>
      </c>
      <c r="V295" s="100">
        <f t="shared" si="83"/>
        <v>0</v>
      </c>
      <c r="W295" s="101"/>
      <c r="X295" s="102"/>
      <c r="Y295" s="103"/>
      <c r="Z295" s="103"/>
      <c r="AA295" s="99">
        <v>0</v>
      </c>
      <c r="AB295" s="100">
        <f t="shared" ref="AB295:AB326" si="87">AA295*S295</f>
        <v>0</v>
      </c>
      <c r="AC295" s="104">
        <v>0</v>
      </c>
      <c r="AD295" s="105"/>
      <c r="AE295" s="105"/>
      <c r="AF295" s="105"/>
      <c r="AG295" s="99">
        <v>100</v>
      </c>
      <c r="AH295" s="100">
        <f t="shared" ref="AH295:AH326" si="88">S295*AG295</f>
        <v>64200</v>
      </c>
      <c r="AI295" s="106"/>
      <c r="AJ295" s="107"/>
      <c r="AK295" s="107"/>
      <c r="AL295" s="107">
        <f t="shared" si="85"/>
        <v>0</v>
      </c>
      <c r="AM295" s="99">
        <v>100</v>
      </c>
      <c r="AN295" s="100">
        <f t="shared" ref="AN295:AN326" si="89">S295*AM295</f>
        <v>64200</v>
      </c>
      <c r="AO295" s="108">
        <f t="shared" si="78"/>
        <v>200</v>
      </c>
    </row>
    <row r="296" spans="1:41" ht="20.45" customHeight="1">
      <c r="A296" s="85" t="s">
        <v>1151</v>
      </c>
      <c r="B296" s="86">
        <v>265</v>
      </c>
      <c r="C296" s="87" t="s">
        <v>1152</v>
      </c>
      <c r="D296" s="88">
        <v>654837</v>
      </c>
      <c r="E296" s="88"/>
      <c r="F296" s="89" t="s">
        <v>1153</v>
      </c>
      <c r="G296" s="109" t="s">
        <v>1154</v>
      </c>
      <c r="H296" s="109"/>
      <c r="I296" s="91">
        <v>1</v>
      </c>
      <c r="J296" s="92" t="s">
        <v>88</v>
      </c>
      <c r="K296" s="93">
        <v>1</v>
      </c>
      <c r="L296" s="93" t="s">
        <v>202</v>
      </c>
      <c r="M296" s="116">
        <f>37/10*12</f>
        <v>44.400000000000006</v>
      </c>
      <c r="N296" s="116">
        <f>44/9*12</f>
        <v>58.666666666666671</v>
      </c>
      <c r="O296" s="116">
        <v>52</v>
      </c>
      <c r="P296" s="94">
        <v>60</v>
      </c>
      <c r="Q296" s="95">
        <v>20</v>
      </c>
      <c r="R296" s="112">
        <v>80</v>
      </c>
      <c r="S296" s="110">
        <v>100</v>
      </c>
      <c r="T296" s="98">
        <f t="shared" si="86"/>
        <v>8000</v>
      </c>
      <c r="U296" s="99">
        <v>40</v>
      </c>
      <c r="V296" s="100">
        <f t="shared" si="83"/>
        <v>4000</v>
      </c>
      <c r="W296" s="101">
        <v>40</v>
      </c>
      <c r="X296" s="102" t="s">
        <v>944</v>
      </c>
      <c r="Y296" s="103">
        <v>70</v>
      </c>
      <c r="Z296" s="103">
        <f>Y296*W296</f>
        <v>2800</v>
      </c>
      <c r="AA296" s="99">
        <v>0</v>
      </c>
      <c r="AB296" s="100">
        <f t="shared" si="87"/>
        <v>0</v>
      </c>
      <c r="AC296" s="104"/>
      <c r="AD296" s="105"/>
      <c r="AE296" s="105"/>
      <c r="AF296" s="105"/>
      <c r="AG296" s="99">
        <v>40</v>
      </c>
      <c r="AH296" s="100">
        <f t="shared" si="88"/>
        <v>4000</v>
      </c>
      <c r="AI296" s="106">
        <v>40</v>
      </c>
      <c r="AJ296" s="107" t="s">
        <v>944</v>
      </c>
      <c r="AK296" s="107">
        <f>360/5</f>
        <v>72</v>
      </c>
      <c r="AL296" s="107">
        <f t="shared" si="85"/>
        <v>2880</v>
      </c>
      <c r="AM296" s="99">
        <v>0</v>
      </c>
      <c r="AN296" s="100">
        <f t="shared" si="89"/>
        <v>0</v>
      </c>
      <c r="AO296" s="108">
        <f t="shared" si="78"/>
        <v>80</v>
      </c>
    </row>
    <row r="297" spans="1:41" ht="20.45" customHeight="1">
      <c r="A297" s="85" t="s">
        <v>1155</v>
      </c>
      <c r="B297" s="86">
        <v>266</v>
      </c>
      <c r="C297" s="87" t="s">
        <v>1156</v>
      </c>
      <c r="D297" s="146">
        <v>282844</v>
      </c>
      <c r="E297" s="146"/>
      <c r="F297" s="89" t="s">
        <v>1157</v>
      </c>
      <c r="G297" s="109" t="s">
        <v>1158</v>
      </c>
      <c r="H297" s="109"/>
      <c r="I297" s="91">
        <v>1</v>
      </c>
      <c r="J297" s="93" t="s">
        <v>1159</v>
      </c>
      <c r="K297" s="93">
        <v>1</v>
      </c>
      <c r="L297" s="93" t="s">
        <v>1160</v>
      </c>
      <c r="M297" s="116">
        <f>5500/10*12</f>
        <v>6600</v>
      </c>
      <c r="N297" s="116">
        <f>9700/9*12</f>
        <v>12933.333333333334</v>
      </c>
      <c r="O297" s="116">
        <v>10666.666666666666</v>
      </c>
      <c r="P297" s="94">
        <v>2000</v>
      </c>
      <c r="Q297" s="95">
        <v>0</v>
      </c>
      <c r="R297" s="96">
        <v>0</v>
      </c>
      <c r="S297" s="147">
        <f>492/100</f>
        <v>4.92</v>
      </c>
      <c r="T297" s="98">
        <f t="shared" si="86"/>
        <v>0</v>
      </c>
      <c r="U297" s="148">
        <v>0</v>
      </c>
      <c r="V297" s="100">
        <f t="shared" si="83"/>
        <v>0</v>
      </c>
      <c r="W297" s="101"/>
      <c r="X297" s="102"/>
      <c r="Y297" s="103"/>
      <c r="Z297" s="103"/>
      <c r="AA297" s="148">
        <v>0</v>
      </c>
      <c r="AB297" s="100">
        <f t="shared" si="87"/>
        <v>0</v>
      </c>
      <c r="AC297" s="104"/>
      <c r="AD297" s="105"/>
      <c r="AE297" s="105"/>
      <c r="AF297" s="105"/>
      <c r="AG297" s="99">
        <v>0</v>
      </c>
      <c r="AH297" s="100">
        <f t="shared" si="88"/>
        <v>0</v>
      </c>
      <c r="AI297" s="106"/>
      <c r="AJ297" s="107"/>
      <c r="AK297" s="107"/>
      <c r="AL297" s="107"/>
      <c r="AM297" s="99">
        <v>0</v>
      </c>
      <c r="AN297" s="100">
        <f t="shared" si="89"/>
        <v>0</v>
      </c>
      <c r="AO297" s="108">
        <f t="shared" si="78"/>
        <v>0</v>
      </c>
    </row>
    <row r="298" spans="1:41" ht="20.45" customHeight="1">
      <c r="A298" s="85" t="s">
        <v>1161</v>
      </c>
      <c r="B298" s="86">
        <v>267</v>
      </c>
      <c r="C298" s="87" t="s">
        <v>1162</v>
      </c>
      <c r="D298" s="146">
        <v>427571</v>
      </c>
      <c r="E298" s="146"/>
      <c r="F298" s="89" t="s">
        <v>1163</v>
      </c>
      <c r="G298" s="109" t="s">
        <v>1164</v>
      </c>
      <c r="H298" s="109"/>
      <c r="I298" s="91">
        <v>1</v>
      </c>
      <c r="J298" s="93" t="s">
        <v>1159</v>
      </c>
      <c r="K298" s="93">
        <v>1</v>
      </c>
      <c r="L298" s="93" t="s">
        <v>1160</v>
      </c>
      <c r="M298" s="116">
        <f>2800*12/10</f>
        <v>3360</v>
      </c>
      <c r="N298" s="116">
        <f>5400/9*12</f>
        <v>7200</v>
      </c>
      <c r="O298" s="116">
        <v>4133.333333333333</v>
      </c>
      <c r="P298" s="94">
        <v>1000</v>
      </c>
      <c r="Q298" s="95">
        <v>0</v>
      </c>
      <c r="R298" s="96">
        <v>0</v>
      </c>
      <c r="S298" s="147">
        <f>678/100</f>
        <v>6.78</v>
      </c>
      <c r="T298" s="98">
        <f t="shared" si="86"/>
        <v>0</v>
      </c>
      <c r="U298" s="148">
        <v>0</v>
      </c>
      <c r="V298" s="100">
        <f t="shared" si="83"/>
        <v>0</v>
      </c>
      <c r="W298" s="101"/>
      <c r="X298" s="102"/>
      <c r="Y298" s="103"/>
      <c r="Z298" s="103"/>
      <c r="AA298" s="148">
        <v>0</v>
      </c>
      <c r="AB298" s="100">
        <f t="shared" si="87"/>
        <v>0</v>
      </c>
      <c r="AC298" s="104"/>
      <c r="AD298" s="105"/>
      <c r="AE298" s="105"/>
      <c r="AF298" s="105"/>
      <c r="AG298" s="99">
        <v>0</v>
      </c>
      <c r="AH298" s="100">
        <f t="shared" si="88"/>
        <v>0</v>
      </c>
      <c r="AI298" s="106"/>
      <c r="AJ298" s="107"/>
      <c r="AK298" s="107"/>
      <c r="AL298" s="107"/>
      <c r="AM298" s="99">
        <v>0</v>
      </c>
      <c r="AN298" s="100">
        <f t="shared" si="89"/>
        <v>0</v>
      </c>
      <c r="AO298" s="108">
        <f t="shared" si="78"/>
        <v>0</v>
      </c>
    </row>
    <row r="299" spans="1:41" ht="20.45" customHeight="1">
      <c r="A299" s="85" t="s">
        <v>1165</v>
      </c>
      <c r="B299" s="86">
        <v>268</v>
      </c>
      <c r="C299" s="87">
        <v>1122304</v>
      </c>
      <c r="D299" s="88">
        <v>661328</v>
      </c>
      <c r="E299" s="88"/>
      <c r="F299" s="117" t="s">
        <v>1166</v>
      </c>
      <c r="G299" s="109" t="s">
        <v>1167</v>
      </c>
      <c r="H299" s="109" t="s">
        <v>110</v>
      </c>
      <c r="I299" s="114">
        <v>1</v>
      </c>
      <c r="J299" s="118" t="s">
        <v>195</v>
      </c>
      <c r="K299" s="115">
        <v>1</v>
      </c>
      <c r="L299" s="118" t="s">
        <v>1168</v>
      </c>
      <c r="M299" s="116">
        <v>6</v>
      </c>
      <c r="N299" s="116">
        <f>14/9*12</f>
        <v>18.666666666666668</v>
      </c>
      <c r="O299" s="116">
        <v>53.333333333333336</v>
      </c>
      <c r="P299" s="94">
        <v>60</v>
      </c>
      <c r="Q299" s="95">
        <v>0</v>
      </c>
      <c r="R299" s="145">
        <v>45</v>
      </c>
      <c r="S299" s="160">
        <v>120</v>
      </c>
      <c r="T299" s="98">
        <f t="shared" si="86"/>
        <v>5400</v>
      </c>
      <c r="U299" s="148">
        <v>15</v>
      </c>
      <c r="V299" s="100">
        <f t="shared" si="83"/>
        <v>1800</v>
      </c>
      <c r="W299" s="101">
        <v>15</v>
      </c>
      <c r="X299" s="102" t="s">
        <v>110</v>
      </c>
      <c r="Y299" s="103">
        <v>119.84</v>
      </c>
      <c r="Z299" s="103">
        <f t="shared" ref="Z299:Z307" si="90">Y299*W299</f>
        <v>1797.6000000000001</v>
      </c>
      <c r="AA299" s="148">
        <v>0</v>
      </c>
      <c r="AB299" s="100">
        <f t="shared" si="87"/>
        <v>0</v>
      </c>
      <c r="AC299" s="104"/>
      <c r="AD299" s="105"/>
      <c r="AE299" s="105"/>
      <c r="AF299" s="105"/>
      <c r="AG299" s="99">
        <v>15</v>
      </c>
      <c r="AH299" s="100">
        <f t="shared" si="88"/>
        <v>1800</v>
      </c>
      <c r="AI299" s="106">
        <v>15</v>
      </c>
      <c r="AJ299" s="107" t="s">
        <v>110</v>
      </c>
      <c r="AK299" s="107">
        <v>119.84</v>
      </c>
      <c r="AL299" s="107">
        <f t="shared" ref="AL299:AL304" si="91">AK299*AI299</f>
        <v>1797.6000000000001</v>
      </c>
      <c r="AM299" s="99">
        <v>15</v>
      </c>
      <c r="AN299" s="100">
        <f t="shared" si="89"/>
        <v>1800</v>
      </c>
      <c r="AO299" s="108">
        <f t="shared" si="78"/>
        <v>45</v>
      </c>
    </row>
    <row r="300" spans="1:41" ht="20.45" customHeight="1">
      <c r="A300" s="85" t="s">
        <v>1169</v>
      </c>
      <c r="B300" s="86">
        <v>269</v>
      </c>
      <c r="C300" s="87" t="s">
        <v>1170</v>
      </c>
      <c r="D300" s="88">
        <v>430735</v>
      </c>
      <c r="E300" s="88"/>
      <c r="F300" s="89" t="s">
        <v>1171</v>
      </c>
      <c r="G300" s="113" t="s">
        <v>1172</v>
      </c>
      <c r="H300" s="113" t="s">
        <v>110</v>
      </c>
      <c r="I300" s="114">
        <v>1</v>
      </c>
      <c r="J300" s="118" t="s">
        <v>83</v>
      </c>
      <c r="K300" s="115">
        <v>1000</v>
      </c>
      <c r="L300" s="115" t="s">
        <v>84</v>
      </c>
      <c r="M300" s="116">
        <f>21.5*12/10</f>
        <v>25.8</v>
      </c>
      <c r="N300" s="116">
        <f>28/9*12</f>
        <v>37.333333333333336</v>
      </c>
      <c r="O300" s="116">
        <v>54.666666666666664</v>
      </c>
      <c r="P300" s="94">
        <v>56</v>
      </c>
      <c r="Q300" s="95">
        <v>6</v>
      </c>
      <c r="R300" s="96">
        <f>P300-Q300</f>
        <v>50</v>
      </c>
      <c r="S300" s="97">
        <v>2000</v>
      </c>
      <c r="T300" s="98">
        <f t="shared" si="86"/>
        <v>100000</v>
      </c>
      <c r="U300" s="99">
        <v>15</v>
      </c>
      <c r="V300" s="100">
        <f t="shared" si="83"/>
        <v>30000</v>
      </c>
      <c r="W300" s="101">
        <v>15</v>
      </c>
      <c r="X300" s="102" t="s">
        <v>642</v>
      </c>
      <c r="Y300" s="103">
        <v>1600</v>
      </c>
      <c r="Z300" s="103">
        <f t="shared" si="90"/>
        <v>24000</v>
      </c>
      <c r="AA300" s="99">
        <v>15</v>
      </c>
      <c r="AB300" s="100">
        <f t="shared" si="87"/>
        <v>30000</v>
      </c>
      <c r="AC300" s="104">
        <v>15</v>
      </c>
      <c r="AD300" s="105" t="s">
        <v>642</v>
      </c>
      <c r="AE300" s="105">
        <v>1600</v>
      </c>
      <c r="AF300" s="105">
        <f t="shared" ref="AF300:AF305" si="92">AE300*AC300</f>
        <v>24000</v>
      </c>
      <c r="AG300" s="99">
        <v>10</v>
      </c>
      <c r="AH300" s="100">
        <f t="shared" si="88"/>
        <v>20000</v>
      </c>
      <c r="AI300" s="106">
        <v>10</v>
      </c>
      <c r="AJ300" s="107" t="s">
        <v>642</v>
      </c>
      <c r="AK300" s="107">
        <f>2*800</f>
        <v>1600</v>
      </c>
      <c r="AL300" s="107">
        <f t="shared" si="91"/>
        <v>16000</v>
      </c>
      <c r="AM300" s="99">
        <v>10</v>
      </c>
      <c r="AN300" s="100">
        <f t="shared" si="89"/>
        <v>20000</v>
      </c>
      <c r="AO300" s="108">
        <f t="shared" si="78"/>
        <v>50</v>
      </c>
    </row>
    <row r="301" spans="1:41" ht="20.45" customHeight="1">
      <c r="A301" s="85" t="s">
        <v>1173</v>
      </c>
      <c r="B301" s="86">
        <v>270</v>
      </c>
      <c r="C301" s="87" t="s">
        <v>1174</v>
      </c>
      <c r="D301" s="88">
        <v>388422</v>
      </c>
      <c r="E301" s="88"/>
      <c r="F301" s="89" t="s">
        <v>1175</v>
      </c>
      <c r="G301" s="113" t="s">
        <v>1176</v>
      </c>
      <c r="H301" s="113" t="s">
        <v>110</v>
      </c>
      <c r="I301" s="114">
        <v>1</v>
      </c>
      <c r="J301" s="118" t="s">
        <v>83</v>
      </c>
      <c r="K301" s="115">
        <v>1000</v>
      </c>
      <c r="L301" s="115" t="s">
        <v>84</v>
      </c>
      <c r="M301" s="116">
        <f>70.5/10*12</f>
        <v>84.6</v>
      </c>
      <c r="N301" s="116">
        <f>72/9*12</f>
        <v>96</v>
      </c>
      <c r="O301" s="116">
        <v>109.33333333333333</v>
      </c>
      <c r="P301" s="94">
        <v>117</v>
      </c>
      <c r="Q301" s="95">
        <v>17</v>
      </c>
      <c r="R301" s="96">
        <f>P301-Q301</f>
        <v>100</v>
      </c>
      <c r="S301" s="97">
        <v>3330</v>
      </c>
      <c r="T301" s="98">
        <f t="shared" si="86"/>
        <v>333000</v>
      </c>
      <c r="U301" s="99">
        <v>25</v>
      </c>
      <c r="V301" s="100">
        <f t="shared" si="83"/>
        <v>83250</v>
      </c>
      <c r="W301" s="101">
        <v>25</v>
      </c>
      <c r="X301" s="102" t="s">
        <v>642</v>
      </c>
      <c r="Y301" s="103">
        <v>2660</v>
      </c>
      <c r="Z301" s="103">
        <f t="shared" si="90"/>
        <v>66500</v>
      </c>
      <c r="AA301" s="99">
        <v>25</v>
      </c>
      <c r="AB301" s="100">
        <f t="shared" si="87"/>
        <v>83250</v>
      </c>
      <c r="AC301" s="104">
        <v>25</v>
      </c>
      <c r="AD301" s="105" t="s">
        <v>642</v>
      </c>
      <c r="AE301" s="105">
        <v>2660</v>
      </c>
      <c r="AF301" s="105">
        <f t="shared" si="92"/>
        <v>66500</v>
      </c>
      <c r="AG301" s="99">
        <v>25</v>
      </c>
      <c r="AH301" s="100">
        <f t="shared" si="88"/>
        <v>83250</v>
      </c>
      <c r="AI301" s="106">
        <v>25</v>
      </c>
      <c r="AJ301" s="107" t="s">
        <v>642</v>
      </c>
      <c r="AK301" s="107">
        <v>2660</v>
      </c>
      <c r="AL301" s="107">
        <f t="shared" si="91"/>
        <v>66500</v>
      </c>
      <c r="AM301" s="99">
        <v>25</v>
      </c>
      <c r="AN301" s="100">
        <f t="shared" si="89"/>
        <v>83250</v>
      </c>
      <c r="AO301" s="108">
        <f t="shared" si="78"/>
        <v>100</v>
      </c>
    </row>
    <row r="302" spans="1:41" ht="20.45" customHeight="1">
      <c r="A302" s="85" t="s">
        <v>1177</v>
      </c>
      <c r="B302" s="86">
        <v>271</v>
      </c>
      <c r="C302" s="87" t="s">
        <v>1178</v>
      </c>
      <c r="D302" s="88">
        <v>578020</v>
      </c>
      <c r="E302" s="88"/>
      <c r="F302" s="89" t="s">
        <v>1179</v>
      </c>
      <c r="G302" s="109" t="s">
        <v>1180</v>
      </c>
      <c r="H302" s="109"/>
      <c r="I302" s="176">
        <v>2</v>
      </c>
      <c r="J302" s="92" t="s">
        <v>51</v>
      </c>
      <c r="K302" s="93">
        <v>1</v>
      </c>
      <c r="L302" s="93" t="s">
        <v>52</v>
      </c>
      <c r="M302" s="116">
        <f>23*12/10</f>
        <v>27.6</v>
      </c>
      <c r="N302" s="116">
        <f>121</f>
        <v>121</v>
      </c>
      <c r="O302" s="116">
        <v>62.666666666666664</v>
      </c>
      <c r="P302" s="94">
        <v>77</v>
      </c>
      <c r="Q302" s="95">
        <v>17</v>
      </c>
      <c r="R302" s="96">
        <f>P302-Q302</f>
        <v>60</v>
      </c>
      <c r="S302" s="97">
        <v>42</v>
      </c>
      <c r="T302" s="98">
        <f t="shared" si="86"/>
        <v>2520</v>
      </c>
      <c r="U302" s="99">
        <v>30</v>
      </c>
      <c r="V302" s="100">
        <f t="shared" si="83"/>
        <v>1260</v>
      </c>
      <c r="W302" s="101">
        <v>30</v>
      </c>
      <c r="X302" s="102" t="s">
        <v>53</v>
      </c>
      <c r="Y302" s="103">
        <v>41</v>
      </c>
      <c r="Z302" s="103">
        <f t="shared" si="90"/>
        <v>1230</v>
      </c>
      <c r="AA302" s="99">
        <v>0</v>
      </c>
      <c r="AB302" s="100">
        <f t="shared" si="87"/>
        <v>0</v>
      </c>
      <c r="AC302" s="104"/>
      <c r="AD302" s="105"/>
      <c r="AE302" s="105"/>
      <c r="AF302" s="105">
        <f t="shared" si="92"/>
        <v>0</v>
      </c>
      <c r="AG302" s="99">
        <v>30</v>
      </c>
      <c r="AH302" s="100">
        <f t="shared" si="88"/>
        <v>1260</v>
      </c>
      <c r="AI302" s="106"/>
      <c r="AJ302" s="107"/>
      <c r="AK302" s="107"/>
      <c r="AL302" s="107">
        <f t="shared" si="91"/>
        <v>0</v>
      </c>
      <c r="AM302" s="99">
        <v>0</v>
      </c>
      <c r="AN302" s="100">
        <f t="shared" si="89"/>
        <v>0</v>
      </c>
      <c r="AO302" s="108">
        <f t="shared" si="78"/>
        <v>60</v>
      </c>
    </row>
    <row r="303" spans="1:41" ht="20.45" customHeight="1">
      <c r="A303" s="85" t="s">
        <v>1181</v>
      </c>
      <c r="B303" s="86">
        <v>272</v>
      </c>
      <c r="C303" s="87" t="s">
        <v>1182</v>
      </c>
      <c r="D303" s="88">
        <v>239773</v>
      </c>
      <c r="E303" s="88"/>
      <c r="F303" s="89" t="s">
        <v>1183</v>
      </c>
      <c r="G303" s="109" t="s">
        <v>1184</v>
      </c>
      <c r="H303" s="109"/>
      <c r="I303" s="91">
        <v>1</v>
      </c>
      <c r="J303" s="92" t="s">
        <v>83</v>
      </c>
      <c r="K303" s="93">
        <v>1000</v>
      </c>
      <c r="L303" s="93" t="s">
        <v>84</v>
      </c>
      <c r="M303" s="116">
        <f>7/10*12</f>
        <v>8.3999999999999986</v>
      </c>
      <c r="N303" s="116">
        <f>10.6/9*12</f>
        <v>14.133333333333333</v>
      </c>
      <c r="O303" s="116">
        <v>10.933333333333332</v>
      </c>
      <c r="P303" s="94">
        <v>11</v>
      </c>
      <c r="Q303" s="95">
        <v>3</v>
      </c>
      <c r="R303" s="112">
        <v>17</v>
      </c>
      <c r="S303" s="110">
        <v>1000</v>
      </c>
      <c r="T303" s="98">
        <f t="shared" si="86"/>
        <v>17000</v>
      </c>
      <c r="U303" s="99">
        <v>9</v>
      </c>
      <c r="V303" s="100">
        <f t="shared" si="83"/>
        <v>9000</v>
      </c>
      <c r="W303" s="101">
        <f>5+4</f>
        <v>9</v>
      </c>
      <c r="X303" s="102" t="s">
        <v>197</v>
      </c>
      <c r="Y303" s="103">
        <v>963</v>
      </c>
      <c r="Z303" s="103">
        <f t="shared" si="90"/>
        <v>8667</v>
      </c>
      <c r="AA303" s="99">
        <v>4</v>
      </c>
      <c r="AB303" s="100">
        <f t="shared" si="87"/>
        <v>4000</v>
      </c>
      <c r="AC303" s="104">
        <v>4</v>
      </c>
      <c r="AD303" s="105" t="s">
        <v>197</v>
      </c>
      <c r="AE303" s="105">
        <v>963</v>
      </c>
      <c r="AF303" s="105">
        <f t="shared" si="92"/>
        <v>3852</v>
      </c>
      <c r="AG303" s="99">
        <v>0</v>
      </c>
      <c r="AH303" s="100">
        <f t="shared" si="88"/>
        <v>0</v>
      </c>
      <c r="AI303" s="106">
        <v>5</v>
      </c>
      <c r="AJ303" s="107" t="s">
        <v>197</v>
      </c>
      <c r="AK303" s="107">
        <v>963</v>
      </c>
      <c r="AL303" s="107">
        <f t="shared" si="91"/>
        <v>4815</v>
      </c>
      <c r="AM303" s="99">
        <v>4</v>
      </c>
      <c r="AN303" s="100">
        <f t="shared" si="89"/>
        <v>4000</v>
      </c>
      <c r="AO303" s="108">
        <f t="shared" si="78"/>
        <v>17</v>
      </c>
    </row>
    <row r="304" spans="1:41" ht="20.45" customHeight="1">
      <c r="A304" s="85" t="s">
        <v>1185</v>
      </c>
      <c r="B304" s="86">
        <v>273</v>
      </c>
      <c r="C304" s="87" t="s">
        <v>1186</v>
      </c>
      <c r="D304" s="88">
        <v>522631</v>
      </c>
      <c r="E304" s="88"/>
      <c r="F304" s="89" t="s">
        <v>1187</v>
      </c>
      <c r="G304" s="109" t="s">
        <v>1188</v>
      </c>
      <c r="H304" s="109"/>
      <c r="I304" s="91">
        <v>1</v>
      </c>
      <c r="J304" s="92" t="s">
        <v>51</v>
      </c>
      <c r="K304" s="93">
        <v>1</v>
      </c>
      <c r="L304" s="93" t="s">
        <v>127</v>
      </c>
      <c r="M304" s="116">
        <f>241/10*12</f>
        <v>289.20000000000005</v>
      </c>
      <c r="N304" s="116">
        <f>159/9*12</f>
        <v>212</v>
      </c>
      <c r="O304" s="116">
        <v>188</v>
      </c>
      <c r="P304" s="94">
        <v>248</v>
      </c>
      <c r="Q304" s="95">
        <v>48</v>
      </c>
      <c r="R304" s="112">
        <v>300</v>
      </c>
      <c r="S304" s="97">
        <v>52.5</v>
      </c>
      <c r="T304" s="98">
        <f t="shared" si="86"/>
        <v>15750</v>
      </c>
      <c r="U304" s="99">
        <v>100</v>
      </c>
      <c r="V304" s="100">
        <f t="shared" si="83"/>
        <v>5250</v>
      </c>
      <c r="W304" s="101">
        <v>100</v>
      </c>
      <c r="X304" s="102" t="s">
        <v>1189</v>
      </c>
      <c r="Y304" s="103">
        <v>37.450000000000003</v>
      </c>
      <c r="Z304" s="103">
        <f t="shared" si="90"/>
        <v>3745.0000000000005</v>
      </c>
      <c r="AA304" s="99">
        <v>100</v>
      </c>
      <c r="AB304" s="100">
        <f t="shared" si="87"/>
        <v>5250</v>
      </c>
      <c r="AC304" s="104">
        <v>100</v>
      </c>
      <c r="AD304" s="105" t="s">
        <v>1189</v>
      </c>
      <c r="AE304" s="105">
        <v>37.450000000000003</v>
      </c>
      <c r="AF304" s="105">
        <f t="shared" si="92"/>
        <v>3745.0000000000005</v>
      </c>
      <c r="AG304" s="99">
        <v>100</v>
      </c>
      <c r="AH304" s="100">
        <f t="shared" si="88"/>
        <v>5250</v>
      </c>
      <c r="AI304" s="106"/>
      <c r="AJ304" s="107"/>
      <c r="AK304" s="107"/>
      <c r="AL304" s="107">
        <f t="shared" si="91"/>
        <v>0</v>
      </c>
      <c r="AM304" s="99">
        <v>0</v>
      </c>
      <c r="AN304" s="100">
        <f t="shared" si="89"/>
        <v>0</v>
      </c>
      <c r="AO304" s="108">
        <f t="shared" si="78"/>
        <v>300</v>
      </c>
    </row>
    <row r="305" spans="1:50" ht="20.45" customHeight="1">
      <c r="A305" s="85" t="s">
        <v>1194</v>
      </c>
      <c r="B305" s="86">
        <v>275</v>
      </c>
      <c r="C305" s="87" t="s">
        <v>1195</v>
      </c>
      <c r="D305" s="88">
        <v>634858</v>
      </c>
      <c r="E305" s="88"/>
      <c r="F305" s="89" t="s">
        <v>1196</v>
      </c>
      <c r="G305" s="109" t="s">
        <v>1197</v>
      </c>
      <c r="H305" s="109" t="s">
        <v>110</v>
      </c>
      <c r="I305" s="91">
        <v>1</v>
      </c>
      <c r="J305" s="92" t="s">
        <v>195</v>
      </c>
      <c r="K305" s="93">
        <v>1</v>
      </c>
      <c r="L305" s="93" t="s">
        <v>196</v>
      </c>
      <c r="M305" s="116">
        <f>650/10*12</f>
        <v>780</v>
      </c>
      <c r="N305" s="116">
        <f>418/9*12</f>
        <v>557.33333333333326</v>
      </c>
      <c r="O305" s="116">
        <v>580</v>
      </c>
      <c r="P305" s="94">
        <v>630</v>
      </c>
      <c r="Q305" s="95">
        <v>30</v>
      </c>
      <c r="R305" s="96">
        <f>P305-Q305</f>
        <v>600</v>
      </c>
      <c r="S305" s="97">
        <v>12</v>
      </c>
      <c r="T305" s="98">
        <f t="shared" si="86"/>
        <v>7200</v>
      </c>
      <c r="U305" s="99">
        <v>200</v>
      </c>
      <c r="V305" s="100">
        <f t="shared" si="83"/>
        <v>2400</v>
      </c>
      <c r="W305" s="101">
        <v>200</v>
      </c>
      <c r="X305" s="102" t="s">
        <v>110</v>
      </c>
      <c r="Y305" s="103">
        <v>11.77</v>
      </c>
      <c r="Z305" s="103">
        <f t="shared" si="90"/>
        <v>2354</v>
      </c>
      <c r="AA305" s="99">
        <v>200</v>
      </c>
      <c r="AB305" s="100">
        <f t="shared" si="87"/>
        <v>2400</v>
      </c>
      <c r="AC305" s="104">
        <v>200</v>
      </c>
      <c r="AD305" s="105" t="s">
        <v>110</v>
      </c>
      <c r="AE305" s="105">
        <v>11.77</v>
      </c>
      <c r="AF305" s="105">
        <f t="shared" si="92"/>
        <v>2354</v>
      </c>
      <c r="AG305" s="99">
        <v>200</v>
      </c>
      <c r="AH305" s="100">
        <f t="shared" si="88"/>
        <v>2400</v>
      </c>
      <c r="AI305" s="106"/>
      <c r="AJ305" s="107"/>
      <c r="AK305" s="107"/>
      <c r="AL305" s="107"/>
      <c r="AM305" s="99">
        <v>0</v>
      </c>
      <c r="AN305" s="100">
        <f t="shared" si="89"/>
        <v>0</v>
      </c>
      <c r="AO305" s="108">
        <f t="shared" si="78"/>
        <v>600</v>
      </c>
    </row>
    <row r="306" spans="1:50" ht="20.45" customHeight="1">
      <c r="A306" s="85" t="s">
        <v>1198</v>
      </c>
      <c r="B306" s="86">
        <v>276</v>
      </c>
      <c r="C306" s="87" t="s">
        <v>1199</v>
      </c>
      <c r="D306" s="88">
        <v>247290</v>
      </c>
      <c r="E306" s="88"/>
      <c r="F306" s="89" t="s">
        <v>1200</v>
      </c>
      <c r="G306" s="109" t="s">
        <v>1201</v>
      </c>
      <c r="H306" s="109"/>
      <c r="I306" s="91">
        <v>1</v>
      </c>
      <c r="J306" s="92" t="s">
        <v>83</v>
      </c>
      <c r="K306" s="93">
        <v>1000</v>
      </c>
      <c r="L306" s="93" t="s">
        <v>84</v>
      </c>
      <c r="M306" s="116">
        <f>10/10*12</f>
        <v>12</v>
      </c>
      <c r="N306" s="116">
        <f>2/9*12</f>
        <v>2.6666666666666665</v>
      </c>
      <c r="O306" s="116">
        <v>6.666666666666667</v>
      </c>
      <c r="P306" s="94">
        <v>5</v>
      </c>
      <c r="Q306" s="95">
        <v>0</v>
      </c>
      <c r="R306" s="96">
        <f>P306-Q306</f>
        <v>5</v>
      </c>
      <c r="S306" s="97">
        <v>130</v>
      </c>
      <c r="T306" s="98">
        <f t="shared" si="86"/>
        <v>650</v>
      </c>
      <c r="U306" s="99">
        <v>5</v>
      </c>
      <c r="V306" s="100">
        <f t="shared" si="83"/>
        <v>650</v>
      </c>
      <c r="W306" s="101">
        <v>5</v>
      </c>
      <c r="X306" s="102" t="s">
        <v>522</v>
      </c>
      <c r="Y306" s="103">
        <v>120</v>
      </c>
      <c r="Z306" s="103">
        <f t="shared" si="90"/>
        <v>600</v>
      </c>
      <c r="AA306" s="99">
        <v>0</v>
      </c>
      <c r="AB306" s="100">
        <f t="shared" si="87"/>
        <v>0</v>
      </c>
      <c r="AC306" s="104"/>
      <c r="AD306" s="105"/>
      <c r="AE306" s="105"/>
      <c r="AF306" s="105"/>
      <c r="AG306" s="99">
        <v>0</v>
      </c>
      <c r="AH306" s="100">
        <f t="shared" si="88"/>
        <v>0</v>
      </c>
      <c r="AI306" s="106"/>
      <c r="AJ306" s="107"/>
      <c r="AK306" s="107"/>
      <c r="AL306" s="107"/>
      <c r="AM306" s="99">
        <v>0</v>
      </c>
      <c r="AN306" s="100">
        <f t="shared" si="89"/>
        <v>0</v>
      </c>
      <c r="AO306" s="108">
        <f t="shared" si="78"/>
        <v>5</v>
      </c>
    </row>
    <row r="307" spans="1:50" ht="20.45" customHeight="1">
      <c r="A307" s="85" t="s">
        <v>1202</v>
      </c>
      <c r="B307" s="86">
        <v>277</v>
      </c>
      <c r="C307" s="87" t="s">
        <v>1203</v>
      </c>
      <c r="D307" s="88">
        <v>654364</v>
      </c>
      <c r="E307" s="88"/>
      <c r="F307" s="89" t="s">
        <v>1204</v>
      </c>
      <c r="G307" s="109" t="s">
        <v>1205</v>
      </c>
      <c r="H307" s="109"/>
      <c r="I307" s="91">
        <v>1</v>
      </c>
      <c r="J307" s="92" t="s">
        <v>51</v>
      </c>
      <c r="K307" s="93">
        <v>1</v>
      </c>
      <c r="L307" s="93" t="s">
        <v>52</v>
      </c>
      <c r="M307" s="116">
        <f>64/10*12</f>
        <v>76.800000000000011</v>
      </c>
      <c r="N307" s="116">
        <f>48/9*12</f>
        <v>64</v>
      </c>
      <c r="O307" s="116">
        <v>68</v>
      </c>
      <c r="P307" s="94">
        <v>78</v>
      </c>
      <c r="Q307" s="95">
        <v>28</v>
      </c>
      <c r="R307" s="96">
        <f>P307-Q307</f>
        <v>50</v>
      </c>
      <c r="S307" s="97">
        <v>50</v>
      </c>
      <c r="T307" s="98">
        <f t="shared" si="86"/>
        <v>2500</v>
      </c>
      <c r="U307" s="99">
        <v>0</v>
      </c>
      <c r="V307" s="100">
        <f t="shared" si="83"/>
        <v>0</v>
      </c>
      <c r="W307" s="101"/>
      <c r="X307" s="102"/>
      <c r="Y307" s="103"/>
      <c r="Z307" s="103">
        <f t="shared" si="90"/>
        <v>0</v>
      </c>
      <c r="AA307" s="99">
        <v>0</v>
      </c>
      <c r="AB307" s="100">
        <f t="shared" si="87"/>
        <v>0</v>
      </c>
      <c r="AC307" s="104"/>
      <c r="AD307" s="105"/>
      <c r="AE307" s="105"/>
      <c r="AF307" s="105"/>
      <c r="AG307" s="99">
        <v>50</v>
      </c>
      <c r="AH307" s="100">
        <f t="shared" si="88"/>
        <v>2500</v>
      </c>
      <c r="AI307" s="106"/>
      <c r="AJ307" s="107"/>
      <c r="AK307" s="107"/>
      <c r="AL307" s="107"/>
      <c r="AM307" s="99">
        <v>0</v>
      </c>
      <c r="AN307" s="100">
        <f t="shared" si="89"/>
        <v>0</v>
      </c>
      <c r="AO307" s="108">
        <f t="shared" si="78"/>
        <v>50</v>
      </c>
    </row>
    <row r="308" spans="1:50" ht="20.45" customHeight="1">
      <c r="A308" s="85" t="s">
        <v>1211</v>
      </c>
      <c r="B308" s="86">
        <v>279</v>
      </c>
      <c r="C308" s="87" t="s">
        <v>1212</v>
      </c>
      <c r="D308" s="88">
        <v>652235</v>
      </c>
      <c r="E308" s="88"/>
      <c r="F308" s="89" t="s">
        <v>1213</v>
      </c>
      <c r="G308" s="113" t="s">
        <v>1214</v>
      </c>
      <c r="H308" s="113" t="s">
        <v>110</v>
      </c>
      <c r="I308" s="114">
        <v>1</v>
      </c>
      <c r="J308" s="118" t="s">
        <v>83</v>
      </c>
      <c r="K308" s="115">
        <v>1000</v>
      </c>
      <c r="L308" s="115" t="s">
        <v>84</v>
      </c>
      <c r="M308" s="116">
        <f>37.7/10*12</f>
        <v>45.240000000000009</v>
      </c>
      <c r="N308" s="116">
        <f>47.36/9*12</f>
        <v>63.146666666666668</v>
      </c>
      <c r="O308" s="116">
        <v>69.333333333333329</v>
      </c>
      <c r="P308" s="94">
        <v>70</v>
      </c>
      <c r="Q308" s="95">
        <v>0</v>
      </c>
      <c r="R308" s="145">
        <v>50</v>
      </c>
      <c r="S308" s="131">
        <v>2140</v>
      </c>
      <c r="T308" s="98">
        <f t="shared" si="86"/>
        <v>107000</v>
      </c>
      <c r="U308" s="138">
        <v>0</v>
      </c>
      <c r="V308" s="100">
        <f t="shared" si="83"/>
        <v>0</v>
      </c>
      <c r="W308" s="254"/>
      <c r="X308" s="102"/>
      <c r="Y308" s="103"/>
      <c r="Z308" s="103"/>
      <c r="AA308" s="138">
        <v>20</v>
      </c>
      <c r="AB308" s="100">
        <f t="shared" si="87"/>
        <v>42800</v>
      </c>
      <c r="AC308" s="104">
        <v>20</v>
      </c>
      <c r="AD308" s="105" t="s">
        <v>902</v>
      </c>
      <c r="AE308" s="105">
        <f>2*802.5</f>
        <v>1605</v>
      </c>
      <c r="AF308" s="105">
        <f>AE308*AC308</f>
        <v>32100</v>
      </c>
      <c r="AG308" s="138">
        <v>20</v>
      </c>
      <c r="AH308" s="100">
        <f t="shared" si="88"/>
        <v>42800</v>
      </c>
      <c r="AI308" s="106">
        <v>20</v>
      </c>
      <c r="AJ308" s="107" t="s">
        <v>902</v>
      </c>
      <c r="AK308" s="107">
        <v>1605</v>
      </c>
      <c r="AL308" s="107">
        <f>AK308*AI308</f>
        <v>32100</v>
      </c>
      <c r="AM308" s="138">
        <v>10</v>
      </c>
      <c r="AN308" s="100">
        <f t="shared" si="89"/>
        <v>21400</v>
      </c>
      <c r="AO308" s="108">
        <f t="shared" si="78"/>
        <v>50</v>
      </c>
    </row>
    <row r="309" spans="1:50" ht="20.45" customHeight="1">
      <c r="A309" s="85" t="s">
        <v>1215</v>
      </c>
      <c r="B309" s="86">
        <v>280</v>
      </c>
      <c r="C309" s="87" t="s">
        <v>1216</v>
      </c>
      <c r="D309" s="88">
        <v>827788</v>
      </c>
      <c r="E309" s="88"/>
      <c r="F309" s="89" t="s">
        <v>1217</v>
      </c>
      <c r="G309" s="109" t="s">
        <v>1218</v>
      </c>
      <c r="H309" s="109"/>
      <c r="I309" s="91">
        <v>1</v>
      </c>
      <c r="J309" s="92" t="s">
        <v>1219</v>
      </c>
      <c r="K309" s="93">
        <v>1</v>
      </c>
      <c r="L309" s="93" t="s">
        <v>267</v>
      </c>
      <c r="M309" s="116">
        <f>313/10*12</f>
        <v>375.6</v>
      </c>
      <c r="N309" s="116">
        <f>420/9*12</f>
        <v>560</v>
      </c>
      <c r="O309" s="116">
        <v>566.66666666666663</v>
      </c>
      <c r="P309" s="94">
        <v>585</v>
      </c>
      <c r="Q309" s="95">
        <v>85</v>
      </c>
      <c r="R309" s="96">
        <f>P309-Q309</f>
        <v>500</v>
      </c>
      <c r="S309" s="150">
        <v>25</v>
      </c>
      <c r="T309" s="98">
        <f t="shared" si="86"/>
        <v>12500</v>
      </c>
      <c r="U309" s="99">
        <v>200</v>
      </c>
      <c r="V309" s="100">
        <f t="shared" si="83"/>
        <v>5000</v>
      </c>
      <c r="W309" s="101">
        <v>200</v>
      </c>
      <c r="X309" s="102" t="s">
        <v>74</v>
      </c>
      <c r="Y309" s="103">
        <v>24</v>
      </c>
      <c r="Z309" s="103">
        <f t="shared" ref="Z309:Z314" si="93">Y309*W309</f>
        <v>4800</v>
      </c>
      <c r="AA309" s="99">
        <v>0</v>
      </c>
      <c r="AB309" s="100">
        <f t="shared" si="87"/>
        <v>0</v>
      </c>
      <c r="AC309" s="104"/>
      <c r="AD309" s="105"/>
      <c r="AE309" s="105"/>
      <c r="AF309" s="105"/>
      <c r="AG309" s="99">
        <v>200</v>
      </c>
      <c r="AH309" s="100">
        <f t="shared" si="88"/>
        <v>5000</v>
      </c>
      <c r="AI309" s="106"/>
      <c r="AJ309" s="107"/>
      <c r="AK309" s="107"/>
      <c r="AL309" s="107">
        <f>AK309*AI309</f>
        <v>0</v>
      </c>
      <c r="AM309" s="99">
        <v>100</v>
      </c>
      <c r="AN309" s="100">
        <f t="shared" si="89"/>
        <v>2500</v>
      </c>
      <c r="AO309" s="108">
        <f t="shared" si="78"/>
        <v>500</v>
      </c>
    </row>
    <row r="310" spans="1:50" ht="20.45" customHeight="1">
      <c r="A310" s="85" t="s">
        <v>1220</v>
      </c>
      <c r="B310" s="86">
        <v>281</v>
      </c>
      <c r="C310" s="87">
        <v>824795</v>
      </c>
      <c r="D310" s="88">
        <v>635761</v>
      </c>
      <c r="E310" s="88"/>
      <c r="F310" s="117" t="s">
        <v>1221</v>
      </c>
      <c r="G310" s="109" t="s">
        <v>1222</v>
      </c>
      <c r="H310" s="109"/>
      <c r="I310" s="91">
        <v>1</v>
      </c>
      <c r="J310" s="92" t="s">
        <v>51</v>
      </c>
      <c r="K310" s="93">
        <v>1</v>
      </c>
      <c r="L310" s="93" t="s">
        <v>1223</v>
      </c>
      <c r="M310" s="116">
        <f>844/10*12</f>
        <v>1012.8000000000001</v>
      </c>
      <c r="N310" s="116">
        <f>684/9*12</f>
        <v>912</v>
      </c>
      <c r="O310" s="116">
        <v>1012</v>
      </c>
      <c r="P310" s="94">
        <v>1097</v>
      </c>
      <c r="Q310" s="95">
        <v>97</v>
      </c>
      <c r="R310" s="145">
        <v>900</v>
      </c>
      <c r="S310" s="150">
        <v>18</v>
      </c>
      <c r="T310" s="98">
        <f t="shared" si="86"/>
        <v>16200</v>
      </c>
      <c r="U310" s="99">
        <v>300</v>
      </c>
      <c r="V310" s="100">
        <f t="shared" si="83"/>
        <v>5400</v>
      </c>
      <c r="W310" s="101">
        <f>25*12</f>
        <v>300</v>
      </c>
      <c r="X310" s="102" t="s">
        <v>160</v>
      </c>
      <c r="Y310" s="103">
        <f>168/12</f>
        <v>14</v>
      </c>
      <c r="Z310" s="103">
        <f t="shared" si="93"/>
        <v>4200</v>
      </c>
      <c r="AA310" s="99">
        <v>0</v>
      </c>
      <c r="AB310" s="100">
        <f t="shared" si="87"/>
        <v>0</v>
      </c>
      <c r="AC310" s="104"/>
      <c r="AD310" s="105"/>
      <c r="AE310" s="105"/>
      <c r="AF310" s="105"/>
      <c r="AG310" s="99">
        <v>300</v>
      </c>
      <c r="AH310" s="100">
        <f t="shared" si="88"/>
        <v>5400</v>
      </c>
      <c r="AI310" s="106">
        <v>300</v>
      </c>
      <c r="AJ310" s="107" t="s">
        <v>160</v>
      </c>
      <c r="AK310" s="107">
        <f>168/12</f>
        <v>14</v>
      </c>
      <c r="AL310" s="107">
        <f>AK310*AI310</f>
        <v>4200</v>
      </c>
      <c r="AM310" s="99">
        <v>300</v>
      </c>
      <c r="AN310" s="100">
        <f t="shared" si="89"/>
        <v>5400</v>
      </c>
      <c r="AO310" s="108">
        <f t="shared" si="78"/>
        <v>900</v>
      </c>
    </row>
    <row r="311" spans="1:50" ht="20.45" customHeight="1">
      <c r="A311" s="85" t="s">
        <v>1224</v>
      </c>
      <c r="B311" s="86">
        <v>282</v>
      </c>
      <c r="C311" s="87" t="s">
        <v>1225</v>
      </c>
      <c r="D311" s="88">
        <v>232381</v>
      </c>
      <c r="E311" s="88"/>
      <c r="F311" s="89" t="s">
        <v>1226</v>
      </c>
      <c r="G311" s="109" t="s">
        <v>1227</v>
      </c>
      <c r="H311" s="109"/>
      <c r="I311" s="91">
        <v>1</v>
      </c>
      <c r="J311" s="92" t="s">
        <v>83</v>
      </c>
      <c r="K311" s="93">
        <v>1000</v>
      </c>
      <c r="L311" s="93" t="s">
        <v>84</v>
      </c>
      <c r="M311" s="116">
        <f>108/10*12</f>
        <v>129.60000000000002</v>
      </c>
      <c r="N311" s="116">
        <f>97.5*12/9</f>
        <v>130</v>
      </c>
      <c r="O311" s="116">
        <v>110.66666666666667</v>
      </c>
      <c r="P311" s="94">
        <v>112</v>
      </c>
      <c r="Q311" s="95">
        <v>12</v>
      </c>
      <c r="R311" s="96">
        <f>P311-Q311</f>
        <v>100</v>
      </c>
      <c r="S311" s="97">
        <v>390</v>
      </c>
      <c r="T311" s="98">
        <f t="shared" si="86"/>
        <v>39000</v>
      </c>
      <c r="U311" s="99">
        <v>25</v>
      </c>
      <c r="V311" s="100">
        <f t="shared" si="83"/>
        <v>9750</v>
      </c>
      <c r="W311" s="101">
        <v>25</v>
      </c>
      <c r="X311" s="102" t="s">
        <v>1228</v>
      </c>
      <c r="Y311" s="103">
        <v>385.2</v>
      </c>
      <c r="Z311" s="103">
        <f t="shared" si="93"/>
        <v>9630</v>
      </c>
      <c r="AA311" s="99">
        <v>25</v>
      </c>
      <c r="AB311" s="100">
        <f t="shared" si="87"/>
        <v>9750</v>
      </c>
      <c r="AC311" s="104">
        <v>25</v>
      </c>
      <c r="AD311" s="105" t="s">
        <v>1228</v>
      </c>
      <c r="AE311" s="105">
        <v>385.2</v>
      </c>
      <c r="AF311" s="105">
        <f>AE311*AC311</f>
        <v>9630</v>
      </c>
      <c r="AG311" s="99">
        <v>25</v>
      </c>
      <c r="AH311" s="100">
        <f t="shared" si="88"/>
        <v>9750</v>
      </c>
      <c r="AI311" s="106"/>
      <c r="AJ311" s="107"/>
      <c r="AK311" s="107"/>
      <c r="AL311" s="107"/>
      <c r="AM311" s="99">
        <v>25</v>
      </c>
      <c r="AN311" s="100">
        <f t="shared" si="89"/>
        <v>9750</v>
      </c>
      <c r="AO311" s="108">
        <f t="shared" si="78"/>
        <v>100</v>
      </c>
    </row>
    <row r="312" spans="1:50" ht="20.45" customHeight="1">
      <c r="A312" s="85" t="s">
        <v>1237</v>
      </c>
      <c r="B312" s="86">
        <v>285</v>
      </c>
      <c r="C312" s="87" t="s">
        <v>1238</v>
      </c>
      <c r="D312" s="88">
        <v>768743</v>
      </c>
      <c r="E312" s="88"/>
      <c r="F312" s="89" t="s">
        <v>1239</v>
      </c>
      <c r="G312" s="109" t="s">
        <v>1240</v>
      </c>
      <c r="H312" s="109"/>
      <c r="I312" s="91">
        <v>1</v>
      </c>
      <c r="J312" s="92" t="s">
        <v>88</v>
      </c>
      <c r="K312" s="93">
        <v>1</v>
      </c>
      <c r="L312" s="93" t="s">
        <v>73</v>
      </c>
      <c r="M312" s="116">
        <f>450*12/10</f>
        <v>540</v>
      </c>
      <c r="N312" s="116">
        <f>700/9*12</f>
        <v>933.33333333333326</v>
      </c>
      <c r="O312" s="116">
        <v>746.66666666666663</v>
      </c>
      <c r="P312" s="94">
        <v>780</v>
      </c>
      <c r="Q312" s="95">
        <v>80</v>
      </c>
      <c r="R312" s="96">
        <f>P312-Q312</f>
        <v>700</v>
      </c>
      <c r="S312" s="97">
        <v>33</v>
      </c>
      <c r="T312" s="98">
        <f t="shared" si="86"/>
        <v>23100</v>
      </c>
      <c r="U312" s="99">
        <v>200</v>
      </c>
      <c r="V312" s="100">
        <f t="shared" si="83"/>
        <v>6600</v>
      </c>
      <c r="W312" s="101">
        <v>200</v>
      </c>
      <c r="X312" s="102" t="s">
        <v>342</v>
      </c>
      <c r="Y312" s="103">
        <v>33</v>
      </c>
      <c r="Z312" s="103">
        <f t="shared" si="93"/>
        <v>6600</v>
      </c>
      <c r="AA312" s="99">
        <v>200</v>
      </c>
      <c r="AB312" s="100">
        <f t="shared" si="87"/>
        <v>6600</v>
      </c>
      <c r="AC312" s="104">
        <v>200</v>
      </c>
      <c r="AD312" s="105" t="s">
        <v>342</v>
      </c>
      <c r="AE312" s="105">
        <f>1650/50</f>
        <v>33</v>
      </c>
      <c r="AF312" s="105">
        <f>AE312*AC312</f>
        <v>6600</v>
      </c>
      <c r="AG312" s="99">
        <v>200</v>
      </c>
      <c r="AH312" s="100">
        <f t="shared" si="88"/>
        <v>6600</v>
      </c>
      <c r="AI312" s="106">
        <v>200</v>
      </c>
      <c r="AJ312" s="107" t="s">
        <v>342</v>
      </c>
      <c r="AK312" s="107">
        <v>33</v>
      </c>
      <c r="AL312" s="107">
        <f>AK312*AI312</f>
        <v>6600</v>
      </c>
      <c r="AM312" s="99">
        <v>100</v>
      </c>
      <c r="AN312" s="100">
        <f t="shared" si="89"/>
        <v>3300</v>
      </c>
      <c r="AO312" s="108">
        <f t="shared" si="78"/>
        <v>700</v>
      </c>
    </row>
    <row r="313" spans="1:50" ht="20.45" customHeight="1">
      <c r="A313" s="85" t="s">
        <v>1244</v>
      </c>
      <c r="B313" s="86">
        <v>287</v>
      </c>
      <c r="C313" s="87" t="s">
        <v>1245</v>
      </c>
      <c r="D313" s="88">
        <v>233454</v>
      </c>
      <c r="E313" s="88"/>
      <c r="F313" s="89" t="s">
        <v>1246</v>
      </c>
      <c r="G313" s="109" t="s">
        <v>1247</v>
      </c>
      <c r="H313" s="109"/>
      <c r="I313" s="91">
        <v>1</v>
      </c>
      <c r="J313" s="92" t="s">
        <v>83</v>
      </c>
      <c r="K313" s="93">
        <v>1000</v>
      </c>
      <c r="L313" s="93" t="s">
        <v>84</v>
      </c>
      <c r="M313" s="116">
        <f>30.5*12/10</f>
        <v>36.6</v>
      </c>
      <c r="N313" s="116">
        <f>19.5/9*12</f>
        <v>26</v>
      </c>
      <c r="O313" s="116">
        <v>33.333333333333336</v>
      </c>
      <c r="P313" s="94">
        <v>35</v>
      </c>
      <c r="Q313" s="95">
        <v>0</v>
      </c>
      <c r="R313" s="96">
        <f>P313-Q313</f>
        <v>35</v>
      </c>
      <c r="S313" s="97">
        <v>860.28</v>
      </c>
      <c r="T313" s="98">
        <f t="shared" si="86"/>
        <v>30109.8</v>
      </c>
      <c r="U313" s="99">
        <v>15</v>
      </c>
      <c r="V313" s="100">
        <f t="shared" si="83"/>
        <v>12904.199999999999</v>
      </c>
      <c r="W313" s="101">
        <v>15</v>
      </c>
      <c r="X313" s="102" t="s">
        <v>249</v>
      </c>
      <c r="Y313" s="103">
        <v>600</v>
      </c>
      <c r="Z313" s="103">
        <f t="shared" si="93"/>
        <v>9000</v>
      </c>
      <c r="AA313" s="99">
        <v>10</v>
      </c>
      <c r="AB313" s="100">
        <f t="shared" si="87"/>
        <v>8602.7999999999993</v>
      </c>
      <c r="AC313" s="104">
        <v>10</v>
      </c>
      <c r="AD313" s="105" t="s">
        <v>249</v>
      </c>
      <c r="AE313" s="105">
        <v>600</v>
      </c>
      <c r="AF313" s="105">
        <f>AE313*AC313</f>
        <v>6000</v>
      </c>
      <c r="AG313" s="99">
        <v>10</v>
      </c>
      <c r="AH313" s="100">
        <f t="shared" si="88"/>
        <v>8602.7999999999993</v>
      </c>
      <c r="AI313" s="106"/>
      <c r="AJ313" s="107"/>
      <c r="AK313" s="107"/>
      <c r="AL313" s="107">
        <f>AK313*AI313</f>
        <v>0</v>
      </c>
      <c r="AM313" s="99">
        <v>0</v>
      </c>
      <c r="AN313" s="100">
        <f t="shared" si="89"/>
        <v>0</v>
      </c>
      <c r="AO313" s="108">
        <f t="shared" si="78"/>
        <v>35</v>
      </c>
    </row>
    <row r="314" spans="1:50" s="191" customFormat="1" ht="20.45" customHeight="1">
      <c r="A314" s="85" t="s">
        <v>1248</v>
      </c>
      <c r="B314" s="86">
        <v>288</v>
      </c>
      <c r="C314" s="87" t="s">
        <v>1249</v>
      </c>
      <c r="D314" s="88">
        <v>521367</v>
      </c>
      <c r="E314" s="88"/>
      <c r="F314" s="89" t="s">
        <v>1250</v>
      </c>
      <c r="G314" s="109" t="s">
        <v>1251</v>
      </c>
      <c r="H314" s="109"/>
      <c r="I314" s="91">
        <v>1</v>
      </c>
      <c r="J314" s="92" t="s">
        <v>88</v>
      </c>
      <c r="K314" s="93">
        <v>1</v>
      </c>
      <c r="L314" s="93" t="s">
        <v>73</v>
      </c>
      <c r="M314" s="116">
        <f>16350*12/10</f>
        <v>19620</v>
      </c>
      <c r="N314" s="116">
        <f>18400/9*12</f>
        <v>24533.333333333332</v>
      </c>
      <c r="O314" s="116">
        <v>23800</v>
      </c>
      <c r="P314" s="94">
        <v>23900</v>
      </c>
      <c r="Q314" s="95">
        <v>3900</v>
      </c>
      <c r="R314" s="96">
        <f>P314-Q314</f>
        <v>20000</v>
      </c>
      <c r="S314" s="97">
        <v>4.1100000000000003</v>
      </c>
      <c r="T314" s="98">
        <f t="shared" si="86"/>
        <v>82200</v>
      </c>
      <c r="U314" s="99">
        <v>5000</v>
      </c>
      <c r="V314" s="100">
        <f t="shared" si="83"/>
        <v>20550</v>
      </c>
      <c r="W314" s="101">
        <v>5000</v>
      </c>
      <c r="X314" s="102" t="s">
        <v>74</v>
      </c>
      <c r="Y314" s="103">
        <f>84/50</f>
        <v>1.68</v>
      </c>
      <c r="Z314" s="103">
        <f t="shared" si="93"/>
        <v>8400</v>
      </c>
      <c r="AA314" s="99">
        <v>5000</v>
      </c>
      <c r="AB314" s="100">
        <f t="shared" si="87"/>
        <v>20550</v>
      </c>
      <c r="AC314" s="104">
        <v>5000</v>
      </c>
      <c r="AD314" s="105" t="s">
        <v>74</v>
      </c>
      <c r="AE314" s="105">
        <v>1.68</v>
      </c>
      <c r="AF314" s="105">
        <f>AE314*AC314</f>
        <v>8400</v>
      </c>
      <c r="AG314" s="99">
        <v>5000</v>
      </c>
      <c r="AH314" s="100">
        <f t="shared" si="88"/>
        <v>20550</v>
      </c>
      <c r="AI314" s="106">
        <v>5000</v>
      </c>
      <c r="AJ314" s="107" t="s">
        <v>74</v>
      </c>
      <c r="AK314" s="107">
        <v>1.68</v>
      </c>
      <c r="AL314" s="107">
        <f>AK314*AI314</f>
        <v>8400</v>
      </c>
      <c r="AM314" s="99">
        <v>5000</v>
      </c>
      <c r="AN314" s="100">
        <f t="shared" si="89"/>
        <v>20550</v>
      </c>
      <c r="AO314" s="108">
        <f t="shared" si="78"/>
        <v>20000</v>
      </c>
      <c r="AP314" s="3"/>
      <c r="AQ314" s="3"/>
      <c r="AR314" s="3"/>
      <c r="AS314" s="3"/>
      <c r="AT314" s="3"/>
      <c r="AU314" s="3"/>
      <c r="AV314" s="3"/>
      <c r="AW314" s="3"/>
      <c r="AX314" s="3"/>
    </row>
    <row r="315" spans="1:50" ht="20.45" customHeight="1">
      <c r="A315" s="177" t="s">
        <v>1252</v>
      </c>
      <c r="B315" s="86">
        <v>289</v>
      </c>
      <c r="C315" s="87">
        <v>963532</v>
      </c>
      <c r="D315" s="88"/>
      <c r="E315" s="88"/>
      <c r="F315" s="117" t="s">
        <v>1253</v>
      </c>
      <c r="G315" s="109" t="s">
        <v>1254</v>
      </c>
      <c r="H315" s="109"/>
      <c r="I315" s="91">
        <v>1</v>
      </c>
      <c r="J315" s="92" t="s">
        <v>88</v>
      </c>
      <c r="K315" s="93">
        <v>1</v>
      </c>
      <c r="L315" s="93" t="s">
        <v>1223</v>
      </c>
      <c r="M315" s="116"/>
      <c r="N315" s="116"/>
      <c r="O315" s="116"/>
      <c r="P315" s="94"/>
      <c r="Q315" s="95"/>
      <c r="R315" s="96">
        <v>200</v>
      </c>
      <c r="S315" s="97">
        <v>25.1</v>
      </c>
      <c r="T315" s="98">
        <f t="shared" si="86"/>
        <v>5020</v>
      </c>
      <c r="U315" s="99">
        <v>0</v>
      </c>
      <c r="V315" s="100">
        <f t="shared" ref="V315:V346" si="94">U315*S315</f>
        <v>0</v>
      </c>
      <c r="W315" s="101"/>
      <c r="X315" s="102"/>
      <c r="Y315" s="103"/>
      <c r="Z315" s="103"/>
      <c r="AA315" s="99">
        <v>200</v>
      </c>
      <c r="AB315" s="100">
        <f t="shared" si="87"/>
        <v>5020</v>
      </c>
      <c r="AC315" s="104">
        <v>200</v>
      </c>
      <c r="AD315" s="105" t="s">
        <v>53</v>
      </c>
      <c r="AE315" s="105">
        <v>25.1</v>
      </c>
      <c r="AF315" s="105">
        <f>AE315*AC315</f>
        <v>5020</v>
      </c>
      <c r="AG315" s="99">
        <v>0</v>
      </c>
      <c r="AH315" s="100">
        <f t="shared" si="88"/>
        <v>0</v>
      </c>
      <c r="AI315" s="106"/>
      <c r="AJ315" s="107"/>
      <c r="AK315" s="107"/>
      <c r="AL315" s="107"/>
      <c r="AM315" s="99">
        <v>0</v>
      </c>
      <c r="AN315" s="100">
        <f t="shared" si="89"/>
        <v>0</v>
      </c>
      <c r="AO315" s="108">
        <f t="shared" si="78"/>
        <v>200</v>
      </c>
    </row>
    <row r="316" spans="1:50" ht="20.45" customHeight="1">
      <c r="A316" s="85" t="s">
        <v>1255</v>
      </c>
      <c r="B316" s="86">
        <v>290</v>
      </c>
      <c r="C316" s="87" t="s">
        <v>1256</v>
      </c>
      <c r="D316" s="88">
        <v>208802</v>
      </c>
      <c r="E316" s="88"/>
      <c r="F316" s="89" t="s">
        <v>1257</v>
      </c>
      <c r="G316" s="113" t="s">
        <v>1258</v>
      </c>
      <c r="H316" s="113"/>
      <c r="I316" s="114">
        <v>1</v>
      </c>
      <c r="J316" s="92" t="s">
        <v>88</v>
      </c>
      <c r="K316" s="93">
        <v>1</v>
      </c>
      <c r="L316" s="93" t="s">
        <v>728</v>
      </c>
      <c r="M316" s="116">
        <v>4</v>
      </c>
      <c r="N316" s="116">
        <v>4</v>
      </c>
      <c r="O316" s="116">
        <v>2.6666666666666665</v>
      </c>
      <c r="P316" s="94">
        <v>4</v>
      </c>
      <c r="Q316" s="95">
        <v>2</v>
      </c>
      <c r="R316" s="96">
        <f>P316-Q316</f>
        <v>2</v>
      </c>
      <c r="S316" s="97">
        <v>5400</v>
      </c>
      <c r="T316" s="98">
        <f t="shared" si="86"/>
        <v>10800</v>
      </c>
      <c r="U316" s="99">
        <v>0</v>
      </c>
      <c r="V316" s="100">
        <f t="shared" si="94"/>
        <v>0</v>
      </c>
      <c r="W316" s="101"/>
      <c r="X316" s="102"/>
      <c r="Y316" s="103"/>
      <c r="Z316" s="103"/>
      <c r="AA316" s="99">
        <v>0</v>
      </c>
      <c r="AB316" s="100">
        <f t="shared" si="87"/>
        <v>0</v>
      </c>
      <c r="AC316" s="104"/>
      <c r="AD316" s="105"/>
      <c r="AE316" s="105"/>
      <c r="AF316" s="105"/>
      <c r="AG316" s="99">
        <v>2</v>
      </c>
      <c r="AH316" s="100">
        <f t="shared" si="88"/>
        <v>10800</v>
      </c>
      <c r="AI316" s="106"/>
      <c r="AJ316" s="107"/>
      <c r="AK316" s="107"/>
      <c r="AL316" s="107"/>
      <c r="AM316" s="99">
        <v>0</v>
      </c>
      <c r="AN316" s="100">
        <f t="shared" si="89"/>
        <v>0</v>
      </c>
      <c r="AO316" s="108">
        <f t="shared" si="78"/>
        <v>2</v>
      </c>
    </row>
    <row r="317" spans="1:50" ht="20.45" customHeight="1">
      <c r="A317" s="85" t="s">
        <v>1259</v>
      </c>
      <c r="B317" s="86">
        <v>291</v>
      </c>
      <c r="C317" s="87" t="s">
        <v>1260</v>
      </c>
      <c r="D317" s="146">
        <v>1153068</v>
      </c>
      <c r="E317" s="146"/>
      <c r="F317" s="89" t="s">
        <v>1261</v>
      </c>
      <c r="G317" s="109" t="s">
        <v>1262</v>
      </c>
      <c r="H317" s="109"/>
      <c r="I317" s="91">
        <v>1</v>
      </c>
      <c r="J317" s="93" t="s">
        <v>727</v>
      </c>
      <c r="K317" s="93">
        <v>1</v>
      </c>
      <c r="L317" s="93" t="s">
        <v>728</v>
      </c>
      <c r="M317" s="116">
        <v>100</v>
      </c>
      <c r="N317" s="116">
        <v>20</v>
      </c>
      <c r="O317" s="116">
        <v>53.333333333333336</v>
      </c>
      <c r="P317" s="94">
        <v>87</v>
      </c>
      <c r="Q317" s="95">
        <v>37</v>
      </c>
      <c r="R317" s="96">
        <f>P317-Q317</f>
        <v>50</v>
      </c>
      <c r="S317" s="155">
        <v>23</v>
      </c>
      <c r="T317" s="98">
        <f t="shared" si="86"/>
        <v>1150</v>
      </c>
      <c r="U317" s="148">
        <v>0</v>
      </c>
      <c r="V317" s="100">
        <f t="shared" si="94"/>
        <v>0</v>
      </c>
      <c r="W317" s="101"/>
      <c r="X317" s="102"/>
      <c r="Y317" s="103"/>
      <c r="Z317" s="103"/>
      <c r="AA317" s="148">
        <v>0</v>
      </c>
      <c r="AB317" s="100">
        <f t="shared" si="87"/>
        <v>0</v>
      </c>
      <c r="AC317" s="104"/>
      <c r="AD317" s="105"/>
      <c r="AE317" s="105"/>
      <c r="AF317" s="105"/>
      <c r="AG317" s="149">
        <v>50</v>
      </c>
      <c r="AH317" s="100">
        <f t="shared" si="88"/>
        <v>1150</v>
      </c>
      <c r="AI317" s="106"/>
      <c r="AJ317" s="107"/>
      <c r="AK317" s="107"/>
      <c r="AL317" s="107"/>
      <c r="AM317" s="99">
        <v>0</v>
      </c>
      <c r="AN317" s="100">
        <f t="shared" si="89"/>
        <v>0</v>
      </c>
      <c r="AO317" s="108">
        <f t="shared" si="78"/>
        <v>50</v>
      </c>
    </row>
    <row r="318" spans="1:50" ht="20.45" customHeight="1">
      <c r="A318" s="85" t="s">
        <v>1263</v>
      </c>
      <c r="B318" s="86">
        <v>292</v>
      </c>
      <c r="C318" s="87">
        <v>137164</v>
      </c>
      <c r="D318" s="146">
        <v>208841</v>
      </c>
      <c r="E318" s="146"/>
      <c r="F318" s="117" t="s">
        <v>1264</v>
      </c>
      <c r="G318" s="109" t="s">
        <v>1265</v>
      </c>
      <c r="H318" s="109"/>
      <c r="I318" s="91">
        <v>1</v>
      </c>
      <c r="J318" s="93" t="s">
        <v>83</v>
      </c>
      <c r="K318" s="93">
        <v>100</v>
      </c>
      <c r="L318" s="93" t="s">
        <v>84</v>
      </c>
      <c r="M318" s="116">
        <v>3</v>
      </c>
      <c r="N318" s="116">
        <v>3</v>
      </c>
      <c r="O318" s="116">
        <v>2.6666666666666665</v>
      </c>
      <c r="P318" s="94">
        <v>3</v>
      </c>
      <c r="Q318" s="95">
        <v>0</v>
      </c>
      <c r="R318" s="112">
        <v>6</v>
      </c>
      <c r="S318" s="155">
        <v>428</v>
      </c>
      <c r="T318" s="98">
        <f t="shared" si="86"/>
        <v>2568</v>
      </c>
      <c r="U318" s="148">
        <v>0</v>
      </c>
      <c r="V318" s="100">
        <f t="shared" si="94"/>
        <v>0</v>
      </c>
      <c r="W318" s="101"/>
      <c r="X318" s="102"/>
      <c r="Y318" s="103"/>
      <c r="Z318" s="103"/>
      <c r="AA318" s="148">
        <v>3</v>
      </c>
      <c r="AB318" s="100">
        <f t="shared" si="87"/>
        <v>1284</v>
      </c>
      <c r="AC318" s="104">
        <v>3</v>
      </c>
      <c r="AD318" s="105" t="s">
        <v>902</v>
      </c>
      <c r="AE318" s="105">
        <v>428</v>
      </c>
      <c r="AF318" s="105">
        <f>AE318*AC318</f>
        <v>1284</v>
      </c>
      <c r="AG318" s="99">
        <v>0</v>
      </c>
      <c r="AH318" s="100">
        <f t="shared" si="88"/>
        <v>0</v>
      </c>
      <c r="AI318" s="106">
        <v>5</v>
      </c>
      <c r="AJ318" s="107" t="s">
        <v>902</v>
      </c>
      <c r="AK318" s="107">
        <v>428</v>
      </c>
      <c r="AL318" s="107">
        <f>AK318*AI318</f>
        <v>2140</v>
      </c>
      <c r="AM318" s="99">
        <v>3</v>
      </c>
      <c r="AN318" s="100">
        <f t="shared" si="89"/>
        <v>1284</v>
      </c>
      <c r="AO318" s="108">
        <f t="shared" si="78"/>
        <v>6</v>
      </c>
    </row>
    <row r="319" spans="1:50" s="192" customFormat="1" ht="20.45" customHeight="1">
      <c r="A319" s="85" t="s">
        <v>1266</v>
      </c>
      <c r="B319" s="86">
        <v>293</v>
      </c>
      <c r="C319" s="87">
        <v>1134951</v>
      </c>
      <c r="D319" s="146">
        <v>1043285</v>
      </c>
      <c r="E319" s="146"/>
      <c r="F319" s="117" t="s">
        <v>1267</v>
      </c>
      <c r="G319" s="109" t="s">
        <v>1268</v>
      </c>
      <c r="H319" s="109" t="s">
        <v>305</v>
      </c>
      <c r="I319" s="91">
        <v>1</v>
      </c>
      <c r="J319" s="92" t="s">
        <v>83</v>
      </c>
      <c r="K319" s="93">
        <v>30</v>
      </c>
      <c r="L319" s="93" t="s">
        <v>84</v>
      </c>
      <c r="M319" s="116">
        <v>0</v>
      </c>
      <c r="N319" s="116">
        <v>144</v>
      </c>
      <c r="O319" s="116">
        <v>845.33333333333337</v>
      </c>
      <c r="P319" s="94">
        <v>1280</v>
      </c>
      <c r="Q319" s="95">
        <v>280</v>
      </c>
      <c r="R319" s="96">
        <f>P319-Q319</f>
        <v>1000</v>
      </c>
      <c r="S319" s="125">
        <v>240</v>
      </c>
      <c r="T319" s="98">
        <f t="shared" si="86"/>
        <v>240000</v>
      </c>
      <c r="U319" s="99">
        <v>300</v>
      </c>
      <c r="V319" s="100">
        <f t="shared" si="94"/>
        <v>72000</v>
      </c>
      <c r="W319" s="101">
        <v>300</v>
      </c>
      <c r="X319" s="102" t="s">
        <v>1269</v>
      </c>
      <c r="Y319" s="127">
        <v>240</v>
      </c>
      <c r="Z319" s="103">
        <f>Y319*W319</f>
        <v>72000</v>
      </c>
      <c r="AA319" s="99">
        <v>200</v>
      </c>
      <c r="AB319" s="100">
        <f t="shared" si="87"/>
        <v>48000</v>
      </c>
      <c r="AC319" s="104">
        <v>200</v>
      </c>
      <c r="AD319" s="105" t="s">
        <v>110</v>
      </c>
      <c r="AE319" s="105">
        <v>160.5</v>
      </c>
      <c r="AF319" s="105">
        <f>AE319*AC319</f>
        <v>32100</v>
      </c>
      <c r="AG319" s="99">
        <v>300</v>
      </c>
      <c r="AH319" s="100">
        <f t="shared" si="88"/>
        <v>72000</v>
      </c>
      <c r="AI319" s="106">
        <v>300</v>
      </c>
      <c r="AJ319" s="107" t="s">
        <v>110</v>
      </c>
      <c r="AK319" s="107">
        <v>160.5</v>
      </c>
      <c r="AL319" s="107">
        <f>AK319*AI319</f>
        <v>48150</v>
      </c>
      <c r="AM319" s="99">
        <v>200</v>
      </c>
      <c r="AN319" s="100">
        <f t="shared" si="89"/>
        <v>48000</v>
      </c>
      <c r="AO319" s="108">
        <f t="shared" si="78"/>
        <v>1000</v>
      </c>
      <c r="AP319" s="3"/>
      <c r="AQ319" s="3"/>
      <c r="AR319" s="3"/>
      <c r="AS319" s="3"/>
      <c r="AT319" s="3"/>
      <c r="AU319" s="3"/>
      <c r="AV319" s="3"/>
      <c r="AW319" s="3"/>
      <c r="AX319" s="3"/>
    </row>
    <row r="320" spans="1:50" ht="20.45" customHeight="1">
      <c r="A320" s="85" t="s">
        <v>1270</v>
      </c>
      <c r="B320" s="86">
        <v>294</v>
      </c>
      <c r="C320" s="87" t="s">
        <v>1271</v>
      </c>
      <c r="D320" s="88">
        <v>761905</v>
      </c>
      <c r="E320" s="88"/>
      <c r="F320" s="89" t="s">
        <v>1272</v>
      </c>
      <c r="G320" s="109" t="s">
        <v>1273</v>
      </c>
      <c r="H320" s="109" t="s">
        <v>110</v>
      </c>
      <c r="I320" s="91">
        <v>1</v>
      </c>
      <c r="J320" s="92" t="s">
        <v>88</v>
      </c>
      <c r="K320" s="93">
        <v>1</v>
      </c>
      <c r="L320" s="93" t="s">
        <v>73</v>
      </c>
      <c r="M320" s="116">
        <f>150*12/10</f>
        <v>180</v>
      </c>
      <c r="N320" s="116">
        <v>200</v>
      </c>
      <c r="O320" s="116">
        <v>173.33333333333334</v>
      </c>
      <c r="P320" s="94">
        <v>200</v>
      </c>
      <c r="Q320" s="95">
        <v>0</v>
      </c>
      <c r="R320" s="112">
        <v>300</v>
      </c>
      <c r="S320" s="97">
        <v>8.56</v>
      </c>
      <c r="T320" s="98">
        <f t="shared" si="86"/>
        <v>2568</v>
      </c>
      <c r="U320" s="99">
        <v>100</v>
      </c>
      <c r="V320" s="100">
        <f t="shared" si="94"/>
        <v>856</v>
      </c>
      <c r="W320" s="101">
        <v>100</v>
      </c>
      <c r="X320" s="102" t="s">
        <v>110</v>
      </c>
      <c r="Y320" s="103">
        <f>4.28*2</f>
        <v>8.56</v>
      </c>
      <c r="Z320" s="103">
        <f>Y320*W320</f>
        <v>856</v>
      </c>
      <c r="AA320" s="99">
        <v>100</v>
      </c>
      <c r="AB320" s="100">
        <f t="shared" si="87"/>
        <v>856</v>
      </c>
      <c r="AC320" s="104">
        <v>100</v>
      </c>
      <c r="AD320" s="105" t="s">
        <v>110</v>
      </c>
      <c r="AE320" s="105">
        <v>8.56</v>
      </c>
      <c r="AF320" s="105">
        <f>AE320*AC320</f>
        <v>856</v>
      </c>
      <c r="AG320" s="99">
        <v>0</v>
      </c>
      <c r="AH320" s="100">
        <f t="shared" si="88"/>
        <v>0</v>
      </c>
      <c r="AI320" s="106"/>
      <c r="AJ320" s="107"/>
      <c r="AK320" s="107"/>
      <c r="AL320" s="107"/>
      <c r="AM320" s="99">
        <v>100</v>
      </c>
      <c r="AN320" s="100">
        <f t="shared" si="89"/>
        <v>856</v>
      </c>
      <c r="AO320" s="108">
        <f t="shared" si="78"/>
        <v>300</v>
      </c>
    </row>
    <row r="321" spans="1:50" ht="20.45" customHeight="1">
      <c r="A321" s="85" t="s">
        <v>1274</v>
      </c>
      <c r="B321" s="86">
        <v>295</v>
      </c>
      <c r="C321" s="87" t="s">
        <v>1275</v>
      </c>
      <c r="D321" s="88">
        <v>910975</v>
      </c>
      <c r="E321" s="88"/>
      <c r="F321" s="89" t="s">
        <v>1276</v>
      </c>
      <c r="G321" s="109" t="s">
        <v>1277</v>
      </c>
      <c r="H321" s="109"/>
      <c r="I321" s="91">
        <v>1</v>
      </c>
      <c r="J321" s="92" t="s">
        <v>83</v>
      </c>
      <c r="K321" s="93">
        <v>1000</v>
      </c>
      <c r="L321" s="93" t="s">
        <v>84</v>
      </c>
      <c r="M321" s="116">
        <v>0</v>
      </c>
      <c r="N321" s="116">
        <v>1</v>
      </c>
      <c r="O321" s="116">
        <v>2.6666666666666665</v>
      </c>
      <c r="P321" s="94">
        <v>3</v>
      </c>
      <c r="Q321" s="95">
        <v>0</v>
      </c>
      <c r="R321" s="96">
        <f>P321-Q321</f>
        <v>3</v>
      </c>
      <c r="S321" s="97">
        <v>210</v>
      </c>
      <c r="T321" s="98">
        <f t="shared" si="86"/>
        <v>630</v>
      </c>
      <c r="U321" s="99">
        <v>0</v>
      </c>
      <c r="V321" s="100">
        <f t="shared" si="94"/>
        <v>0</v>
      </c>
      <c r="W321" s="101"/>
      <c r="X321" s="102"/>
      <c r="Y321" s="103"/>
      <c r="Z321" s="103"/>
      <c r="AA321" s="99">
        <v>0</v>
      </c>
      <c r="AB321" s="100">
        <f t="shared" si="87"/>
        <v>0</v>
      </c>
      <c r="AC321" s="104"/>
      <c r="AD321" s="105"/>
      <c r="AE321" s="105"/>
      <c r="AF321" s="105"/>
      <c r="AG321" s="99">
        <v>3</v>
      </c>
      <c r="AH321" s="100">
        <f t="shared" si="88"/>
        <v>630</v>
      </c>
      <c r="AI321" s="106"/>
      <c r="AJ321" s="107"/>
      <c r="AK321" s="107"/>
      <c r="AL321" s="107"/>
      <c r="AM321" s="99">
        <v>0</v>
      </c>
      <c r="AN321" s="100">
        <f t="shared" si="89"/>
        <v>0</v>
      </c>
      <c r="AO321" s="108">
        <f t="shared" si="78"/>
        <v>3</v>
      </c>
    </row>
    <row r="322" spans="1:50" s="191" customFormat="1" ht="20.45" customHeight="1">
      <c r="A322" s="85" t="s">
        <v>1278</v>
      </c>
      <c r="B322" s="86">
        <v>296</v>
      </c>
      <c r="C322" s="87" t="s">
        <v>1279</v>
      </c>
      <c r="D322" s="88">
        <v>741228</v>
      </c>
      <c r="E322" s="88"/>
      <c r="F322" s="89" t="s">
        <v>1280</v>
      </c>
      <c r="G322" s="172" t="s">
        <v>1281</v>
      </c>
      <c r="H322" s="172"/>
      <c r="I322" s="173">
        <v>1</v>
      </c>
      <c r="J322" s="92" t="s">
        <v>88</v>
      </c>
      <c r="K322" s="93">
        <v>1</v>
      </c>
      <c r="L322" s="93" t="s">
        <v>73</v>
      </c>
      <c r="M322" s="116">
        <v>17</v>
      </c>
      <c r="N322" s="116">
        <v>2</v>
      </c>
      <c r="O322" s="116">
        <v>21.333333333333332</v>
      </c>
      <c r="P322" s="94">
        <v>25</v>
      </c>
      <c r="Q322" s="95">
        <v>5</v>
      </c>
      <c r="R322" s="96">
        <f>P322-Q322</f>
        <v>20</v>
      </c>
      <c r="S322" s="97">
        <v>640</v>
      </c>
      <c r="T322" s="98">
        <f t="shared" si="86"/>
        <v>12800</v>
      </c>
      <c r="U322" s="99">
        <v>10</v>
      </c>
      <c r="V322" s="100">
        <f t="shared" si="94"/>
        <v>6400</v>
      </c>
      <c r="W322" s="101">
        <v>10</v>
      </c>
      <c r="X322" s="102" t="s">
        <v>1282</v>
      </c>
      <c r="Y322" s="103">
        <v>640</v>
      </c>
      <c r="Z322" s="103">
        <f>Y322*W322</f>
        <v>6400</v>
      </c>
      <c r="AA322" s="99">
        <v>0</v>
      </c>
      <c r="AB322" s="100">
        <f t="shared" si="87"/>
        <v>0</v>
      </c>
      <c r="AC322" s="104"/>
      <c r="AD322" s="105"/>
      <c r="AE322" s="105"/>
      <c r="AF322" s="105"/>
      <c r="AG322" s="99">
        <v>10</v>
      </c>
      <c r="AH322" s="100">
        <f t="shared" si="88"/>
        <v>6400</v>
      </c>
      <c r="AI322" s="106"/>
      <c r="AJ322" s="107"/>
      <c r="AK322" s="107"/>
      <c r="AL322" s="107"/>
      <c r="AM322" s="99">
        <v>0</v>
      </c>
      <c r="AN322" s="100">
        <f t="shared" si="89"/>
        <v>0</v>
      </c>
      <c r="AO322" s="108">
        <f t="shared" si="78"/>
        <v>20</v>
      </c>
      <c r="AP322" s="3"/>
      <c r="AQ322" s="3"/>
      <c r="AR322" s="3"/>
      <c r="AS322" s="3"/>
      <c r="AT322" s="3"/>
      <c r="AU322" s="3"/>
      <c r="AV322" s="3"/>
      <c r="AW322" s="3"/>
      <c r="AX322" s="3"/>
    </row>
    <row r="323" spans="1:50" ht="20.45" customHeight="1">
      <c r="A323" s="85" t="s">
        <v>1283</v>
      </c>
      <c r="B323" s="86">
        <v>297</v>
      </c>
      <c r="C323" s="87" t="s">
        <v>1284</v>
      </c>
      <c r="D323" s="88">
        <v>763809</v>
      </c>
      <c r="E323" s="88"/>
      <c r="F323" s="89" t="s">
        <v>1285</v>
      </c>
      <c r="G323" s="109" t="s">
        <v>1286</v>
      </c>
      <c r="H323" s="109"/>
      <c r="I323" s="91">
        <v>1</v>
      </c>
      <c r="J323" s="92" t="s">
        <v>327</v>
      </c>
      <c r="K323" s="93">
        <v>1</v>
      </c>
      <c r="L323" s="178" t="s">
        <v>1287</v>
      </c>
      <c r="M323" s="116">
        <v>0</v>
      </c>
      <c r="N323" s="116">
        <v>4</v>
      </c>
      <c r="O323" s="116">
        <v>0</v>
      </c>
      <c r="P323" s="94">
        <v>60</v>
      </c>
      <c r="Q323" s="95">
        <v>0</v>
      </c>
      <c r="R323" s="112">
        <v>390</v>
      </c>
      <c r="S323" s="97">
        <f>180/30</f>
        <v>6</v>
      </c>
      <c r="T323" s="98">
        <f t="shared" si="86"/>
        <v>2340</v>
      </c>
      <c r="U323" s="99">
        <v>0</v>
      </c>
      <c r="V323" s="100">
        <f t="shared" si="94"/>
        <v>0</v>
      </c>
      <c r="W323" s="101"/>
      <c r="X323" s="102"/>
      <c r="Y323" s="103"/>
      <c r="Z323" s="103"/>
      <c r="AA323" s="99">
        <v>390</v>
      </c>
      <c r="AB323" s="100">
        <f t="shared" si="87"/>
        <v>2340</v>
      </c>
      <c r="AC323" s="104">
        <v>390</v>
      </c>
      <c r="AD323" s="105" t="s">
        <v>285</v>
      </c>
      <c r="AE323" s="105">
        <f>180/30</f>
        <v>6</v>
      </c>
      <c r="AF323" s="105">
        <f>AE323*AC323</f>
        <v>2340</v>
      </c>
      <c r="AG323" s="99">
        <v>0</v>
      </c>
      <c r="AH323" s="100">
        <f t="shared" si="88"/>
        <v>0</v>
      </c>
      <c r="AI323" s="106"/>
      <c r="AJ323" s="107"/>
      <c r="AK323" s="107"/>
      <c r="AL323" s="107"/>
      <c r="AM323" s="99">
        <v>0</v>
      </c>
      <c r="AN323" s="100">
        <f t="shared" si="89"/>
        <v>0</v>
      </c>
      <c r="AO323" s="108">
        <f t="shared" si="78"/>
        <v>390</v>
      </c>
    </row>
    <row r="324" spans="1:50" ht="20.45" customHeight="1">
      <c r="A324" s="85" t="s">
        <v>1288</v>
      </c>
      <c r="B324" s="86">
        <v>298</v>
      </c>
      <c r="C324" s="87" t="s">
        <v>1289</v>
      </c>
      <c r="D324" s="88">
        <v>529308</v>
      </c>
      <c r="E324" s="88"/>
      <c r="F324" s="89" t="s">
        <v>1290</v>
      </c>
      <c r="G324" s="109" t="s">
        <v>1291</v>
      </c>
      <c r="H324" s="109"/>
      <c r="I324" s="91">
        <v>1</v>
      </c>
      <c r="J324" s="92" t="s">
        <v>327</v>
      </c>
      <c r="K324" s="93">
        <v>1</v>
      </c>
      <c r="L324" s="93" t="s">
        <v>52</v>
      </c>
      <c r="M324" s="116">
        <f>5549/10*12</f>
        <v>6658.7999999999993</v>
      </c>
      <c r="N324" s="116">
        <f>5661/9*12</f>
        <v>7548</v>
      </c>
      <c r="O324" s="116">
        <v>7562.666666666667</v>
      </c>
      <c r="P324" s="94">
        <v>7600</v>
      </c>
      <c r="Q324" s="95">
        <v>1100</v>
      </c>
      <c r="R324" s="145">
        <v>6492</v>
      </c>
      <c r="S324" s="97">
        <v>15.0977</v>
      </c>
      <c r="T324" s="98">
        <f t="shared" si="86"/>
        <v>98014.268400000001</v>
      </c>
      <c r="U324" s="99">
        <v>1992</v>
      </c>
      <c r="V324" s="100">
        <f t="shared" si="94"/>
        <v>30074.618399999999</v>
      </c>
      <c r="W324" s="101">
        <f>2*996</f>
        <v>1992</v>
      </c>
      <c r="X324" s="102" t="s">
        <v>117</v>
      </c>
      <c r="Y324" s="103">
        <v>15.1</v>
      </c>
      <c r="Z324" s="103">
        <f t="shared" ref="Z324:Z329" si="95">Y324*W324</f>
        <v>30079.200000000001</v>
      </c>
      <c r="AA324" s="99">
        <v>1500</v>
      </c>
      <c r="AB324" s="100">
        <f t="shared" si="87"/>
        <v>22646.55</v>
      </c>
      <c r="AC324" s="104">
        <v>1500</v>
      </c>
      <c r="AD324" s="105" t="s">
        <v>117</v>
      </c>
      <c r="AE324" s="105">
        <v>15.1</v>
      </c>
      <c r="AF324" s="105">
        <f>AE324*AC324</f>
        <v>22650</v>
      </c>
      <c r="AG324" s="99">
        <v>2000</v>
      </c>
      <c r="AH324" s="100">
        <f t="shared" si="88"/>
        <v>30195.399999999998</v>
      </c>
      <c r="AI324" s="106"/>
      <c r="AJ324" s="107"/>
      <c r="AK324" s="107"/>
      <c r="AL324" s="107"/>
      <c r="AM324" s="99">
        <v>1000</v>
      </c>
      <c r="AN324" s="100">
        <f t="shared" si="89"/>
        <v>15097.699999999999</v>
      </c>
      <c r="AO324" s="108">
        <f t="shared" si="78"/>
        <v>6492</v>
      </c>
    </row>
    <row r="325" spans="1:50" ht="20.45" customHeight="1">
      <c r="A325" s="85" t="s">
        <v>1296</v>
      </c>
      <c r="B325" s="86">
        <v>300</v>
      </c>
      <c r="C325" s="87" t="s">
        <v>1297</v>
      </c>
      <c r="D325" s="88">
        <v>302568</v>
      </c>
      <c r="E325" s="88"/>
      <c r="F325" s="89" t="s">
        <v>1298</v>
      </c>
      <c r="G325" s="109" t="s">
        <v>1299</v>
      </c>
      <c r="H325" s="109"/>
      <c r="I325" s="91">
        <v>1</v>
      </c>
      <c r="J325" s="92" t="s">
        <v>83</v>
      </c>
      <c r="K325" s="93">
        <v>1000</v>
      </c>
      <c r="L325" s="93" t="s">
        <v>84</v>
      </c>
      <c r="M325" s="116">
        <v>5</v>
      </c>
      <c r="N325" s="116">
        <v>0</v>
      </c>
      <c r="O325" s="116">
        <v>4</v>
      </c>
      <c r="P325" s="94">
        <v>4</v>
      </c>
      <c r="Q325" s="95">
        <v>0</v>
      </c>
      <c r="R325" s="96">
        <f>P325-Q325</f>
        <v>4</v>
      </c>
      <c r="S325" s="125">
        <v>3300</v>
      </c>
      <c r="T325" s="98">
        <f t="shared" si="86"/>
        <v>13200</v>
      </c>
      <c r="U325" s="99">
        <v>4</v>
      </c>
      <c r="V325" s="100">
        <f t="shared" si="94"/>
        <v>13200</v>
      </c>
      <c r="W325" s="101">
        <v>4</v>
      </c>
      <c r="X325" s="102" t="s">
        <v>342</v>
      </c>
      <c r="Y325" s="103">
        <v>3300</v>
      </c>
      <c r="Z325" s="103">
        <f t="shared" si="95"/>
        <v>13200</v>
      </c>
      <c r="AA325" s="99">
        <v>0</v>
      </c>
      <c r="AB325" s="100">
        <f t="shared" si="87"/>
        <v>0</v>
      </c>
      <c r="AC325" s="104"/>
      <c r="AD325" s="105"/>
      <c r="AE325" s="105"/>
      <c r="AF325" s="105"/>
      <c r="AG325" s="99">
        <v>0</v>
      </c>
      <c r="AH325" s="100">
        <f t="shared" si="88"/>
        <v>0</v>
      </c>
      <c r="AI325" s="106"/>
      <c r="AJ325" s="107"/>
      <c r="AK325" s="107"/>
      <c r="AL325" s="107"/>
      <c r="AM325" s="99">
        <v>0</v>
      </c>
      <c r="AN325" s="100">
        <f t="shared" si="89"/>
        <v>0</v>
      </c>
      <c r="AO325" s="108">
        <f t="shared" si="78"/>
        <v>4</v>
      </c>
    </row>
    <row r="326" spans="1:50" ht="20.45" customHeight="1">
      <c r="A326" s="85" t="s">
        <v>1300</v>
      </c>
      <c r="B326" s="86">
        <v>301</v>
      </c>
      <c r="C326" s="87" t="s">
        <v>1301</v>
      </c>
      <c r="D326" s="88">
        <v>255026</v>
      </c>
      <c r="E326" s="88"/>
      <c r="F326" s="89" t="s">
        <v>1302</v>
      </c>
      <c r="G326" s="109" t="s">
        <v>1303</v>
      </c>
      <c r="H326" s="109"/>
      <c r="I326" s="91">
        <v>1</v>
      </c>
      <c r="J326" s="92" t="s">
        <v>83</v>
      </c>
      <c r="K326" s="93">
        <v>1000</v>
      </c>
      <c r="L326" s="93" t="s">
        <v>84</v>
      </c>
      <c r="M326" s="116">
        <f>6/10*12</f>
        <v>7.1999999999999993</v>
      </c>
      <c r="N326" s="116">
        <v>1</v>
      </c>
      <c r="O326" s="116">
        <v>1.3333333333333333</v>
      </c>
      <c r="P326" s="94">
        <v>1</v>
      </c>
      <c r="Q326" s="95">
        <v>1</v>
      </c>
      <c r="R326" s="112">
        <v>1</v>
      </c>
      <c r="S326" s="97">
        <v>1000</v>
      </c>
      <c r="T326" s="98">
        <f t="shared" si="86"/>
        <v>1000</v>
      </c>
      <c r="U326" s="99">
        <v>1</v>
      </c>
      <c r="V326" s="100">
        <f t="shared" si="94"/>
        <v>1000</v>
      </c>
      <c r="W326" s="101">
        <v>1</v>
      </c>
      <c r="X326" s="102" t="s">
        <v>342</v>
      </c>
      <c r="Y326" s="103">
        <v>1000</v>
      </c>
      <c r="Z326" s="103">
        <f t="shared" si="95"/>
        <v>1000</v>
      </c>
      <c r="AA326" s="99">
        <v>0</v>
      </c>
      <c r="AB326" s="100">
        <f t="shared" si="87"/>
        <v>0</v>
      </c>
      <c r="AC326" s="104"/>
      <c r="AD326" s="105"/>
      <c r="AE326" s="105"/>
      <c r="AF326" s="105"/>
      <c r="AG326" s="99">
        <v>0</v>
      </c>
      <c r="AH326" s="100">
        <f t="shared" si="88"/>
        <v>0</v>
      </c>
      <c r="AI326" s="106"/>
      <c r="AJ326" s="107"/>
      <c r="AK326" s="107"/>
      <c r="AL326" s="107"/>
      <c r="AM326" s="99">
        <v>0</v>
      </c>
      <c r="AN326" s="100">
        <f t="shared" si="89"/>
        <v>0</v>
      </c>
      <c r="AO326" s="108">
        <f t="shared" si="78"/>
        <v>1</v>
      </c>
    </row>
    <row r="327" spans="1:50" ht="20.45" customHeight="1">
      <c r="A327" s="85" t="s">
        <v>1304</v>
      </c>
      <c r="B327" s="86">
        <v>302</v>
      </c>
      <c r="C327" s="87" t="s">
        <v>1305</v>
      </c>
      <c r="D327" s="88">
        <v>302654</v>
      </c>
      <c r="E327" s="88"/>
      <c r="F327" s="89" t="s">
        <v>1306</v>
      </c>
      <c r="G327" s="109" t="s">
        <v>1307</v>
      </c>
      <c r="H327" s="109"/>
      <c r="I327" s="91">
        <v>1</v>
      </c>
      <c r="J327" s="92" t="s">
        <v>83</v>
      </c>
      <c r="K327" s="93">
        <v>1000</v>
      </c>
      <c r="L327" s="93" t="s">
        <v>84</v>
      </c>
      <c r="M327" s="116">
        <v>3</v>
      </c>
      <c r="N327" s="116">
        <v>1</v>
      </c>
      <c r="O327" s="116">
        <v>1.3333333333333333</v>
      </c>
      <c r="P327" s="94">
        <v>1</v>
      </c>
      <c r="Q327" s="95">
        <v>1</v>
      </c>
      <c r="R327" s="112">
        <v>2</v>
      </c>
      <c r="S327" s="179">
        <v>1900</v>
      </c>
      <c r="T327" s="98">
        <f t="shared" ref="T327:T358" si="96">S327*R327</f>
        <v>3800</v>
      </c>
      <c r="U327" s="99">
        <v>1</v>
      </c>
      <c r="V327" s="100">
        <f t="shared" si="94"/>
        <v>1900</v>
      </c>
      <c r="W327" s="101">
        <v>1</v>
      </c>
      <c r="X327" s="102" t="s">
        <v>342</v>
      </c>
      <c r="Y327" s="127">
        <v>1900</v>
      </c>
      <c r="Z327" s="103">
        <f t="shared" si="95"/>
        <v>1900</v>
      </c>
      <c r="AA327" s="99">
        <v>1</v>
      </c>
      <c r="AB327" s="100">
        <f t="shared" ref="AB327:AB358" si="97">AA327*S327</f>
        <v>1900</v>
      </c>
      <c r="AC327" s="104">
        <v>1</v>
      </c>
      <c r="AD327" s="105" t="s">
        <v>342</v>
      </c>
      <c r="AE327" s="105">
        <v>1900</v>
      </c>
      <c r="AF327" s="105">
        <f t="shared" ref="AF327:AF333" si="98">AE327*AC327</f>
        <v>1900</v>
      </c>
      <c r="AG327" s="99">
        <v>0</v>
      </c>
      <c r="AH327" s="100">
        <f t="shared" ref="AH327:AH358" si="99">S327*AG327</f>
        <v>0</v>
      </c>
      <c r="AI327" s="106"/>
      <c r="AJ327" s="107"/>
      <c r="AK327" s="107"/>
      <c r="AL327" s="107"/>
      <c r="AM327" s="99">
        <v>0</v>
      </c>
      <c r="AN327" s="100">
        <f t="shared" ref="AN327:AN358" si="100">S327*AM327</f>
        <v>0</v>
      </c>
      <c r="AO327" s="108">
        <f t="shared" si="78"/>
        <v>2</v>
      </c>
    </row>
    <row r="328" spans="1:50" ht="20.45" customHeight="1">
      <c r="A328" s="85" t="s">
        <v>1312</v>
      </c>
      <c r="B328" s="86">
        <v>304</v>
      </c>
      <c r="C328" s="87" t="s">
        <v>1313</v>
      </c>
      <c r="D328" s="88">
        <v>864662</v>
      </c>
      <c r="E328" s="88"/>
      <c r="F328" s="89" t="s">
        <v>1314</v>
      </c>
      <c r="G328" s="109" t="s">
        <v>1315</v>
      </c>
      <c r="H328" s="109"/>
      <c r="I328" s="91">
        <v>1</v>
      </c>
      <c r="J328" s="92" t="s">
        <v>184</v>
      </c>
      <c r="K328" s="93">
        <v>1000</v>
      </c>
      <c r="L328" s="93" t="s">
        <v>185</v>
      </c>
      <c r="M328" s="116">
        <f>51.6/10*12</f>
        <v>61.92</v>
      </c>
      <c r="N328" s="116">
        <f>38.5/9*12</f>
        <v>51.333333333333329</v>
      </c>
      <c r="O328" s="116">
        <v>47.333333333333336</v>
      </c>
      <c r="P328" s="94">
        <v>53</v>
      </c>
      <c r="Q328" s="95">
        <v>13</v>
      </c>
      <c r="R328" s="96">
        <f>P328-Q328</f>
        <v>40</v>
      </c>
      <c r="S328" s="131">
        <v>470</v>
      </c>
      <c r="T328" s="98">
        <f t="shared" si="96"/>
        <v>18800</v>
      </c>
      <c r="U328" s="99">
        <v>10</v>
      </c>
      <c r="V328" s="100">
        <f t="shared" si="94"/>
        <v>4700</v>
      </c>
      <c r="W328" s="101">
        <v>10</v>
      </c>
      <c r="X328" s="102" t="s">
        <v>1316</v>
      </c>
      <c r="Y328" s="103">
        <f>139.1*2</f>
        <v>278.2</v>
      </c>
      <c r="Z328" s="103">
        <f t="shared" si="95"/>
        <v>2782</v>
      </c>
      <c r="AA328" s="99">
        <v>10</v>
      </c>
      <c r="AB328" s="100">
        <f t="shared" si="97"/>
        <v>4700</v>
      </c>
      <c r="AC328" s="104">
        <v>10</v>
      </c>
      <c r="AD328" s="105" t="s">
        <v>488</v>
      </c>
      <c r="AE328" s="105">
        <f>2*139.1</f>
        <v>278.2</v>
      </c>
      <c r="AF328" s="105">
        <f t="shared" si="98"/>
        <v>2782</v>
      </c>
      <c r="AG328" s="99">
        <v>10</v>
      </c>
      <c r="AH328" s="100">
        <f t="shared" si="99"/>
        <v>4700</v>
      </c>
      <c r="AI328" s="106">
        <v>10</v>
      </c>
      <c r="AJ328" s="107" t="s">
        <v>122</v>
      </c>
      <c r="AK328" s="107">
        <v>500</v>
      </c>
      <c r="AL328" s="107">
        <f>AK328*AI328</f>
        <v>5000</v>
      </c>
      <c r="AM328" s="99">
        <v>10</v>
      </c>
      <c r="AN328" s="100">
        <f t="shared" si="100"/>
        <v>4700</v>
      </c>
      <c r="AO328" s="108">
        <f t="shared" ref="AO328:AO353" si="101">U328+AA328+AG328+AM328</f>
        <v>40</v>
      </c>
    </row>
    <row r="329" spans="1:50" ht="20.45" customHeight="1">
      <c r="A329" s="85" t="s">
        <v>1317</v>
      </c>
      <c r="B329" s="86">
        <v>305</v>
      </c>
      <c r="C329" s="87" t="s">
        <v>1318</v>
      </c>
      <c r="D329" s="88">
        <v>580655</v>
      </c>
      <c r="E329" s="88"/>
      <c r="F329" s="89" t="s">
        <v>1319</v>
      </c>
      <c r="G329" s="109" t="s">
        <v>1320</v>
      </c>
      <c r="H329" s="109"/>
      <c r="I329" s="91">
        <v>1</v>
      </c>
      <c r="J329" s="92" t="s">
        <v>88</v>
      </c>
      <c r="K329" s="93">
        <v>2</v>
      </c>
      <c r="L329" s="93" t="s">
        <v>73</v>
      </c>
      <c r="M329" s="116">
        <f>1777*12/10</f>
        <v>2132.4</v>
      </c>
      <c r="N329" s="116">
        <f>1300/9*12</f>
        <v>1733.3333333333335</v>
      </c>
      <c r="O329" s="116">
        <v>1666.6666666666667</v>
      </c>
      <c r="P329" s="94">
        <v>1680</v>
      </c>
      <c r="Q329" s="95">
        <v>280</v>
      </c>
      <c r="R329" s="112">
        <v>2000</v>
      </c>
      <c r="S329" s="97">
        <v>6.42</v>
      </c>
      <c r="T329" s="98">
        <f t="shared" si="96"/>
        <v>12840</v>
      </c>
      <c r="U329" s="99">
        <v>1000</v>
      </c>
      <c r="V329" s="100">
        <f t="shared" si="94"/>
        <v>6420</v>
      </c>
      <c r="W329" s="101">
        <f>2*500</f>
        <v>1000</v>
      </c>
      <c r="X329" s="102" t="s">
        <v>212</v>
      </c>
      <c r="Y329" s="103">
        <f>225/50</f>
        <v>4.5</v>
      </c>
      <c r="Z329" s="103">
        <f t="shared" si="95"/>
        <v>4500</v>
      </c>
      <c r="AA329" s="99">
        <v>0</v>
      </c>
      <c r="AB329" s="100">
        <f t="shared" si="97"/>
        <v>0</v>
      </c>
      <c r="AC329" s="104"/>
      <c r="AD329" s="105"/>
      <c r="AE329" s="105"/>
      <c r="AF329" s="105">
        <f t="shared" si="98"/>
        <v>0</v>
      </c>
      <c r="AG329" s="99">
        <v>500</v>
      </c>
      <c r="AH329" s="100">
        <f t="shared" si="99"/>
        <v>3210</v>
      </c>
      <c r="AI329" s="106">
        <v>500</v>
      </c>
      <c r="AJ329" s="107" t="s">
        <v>1321</v>
      </c>
      <c r="AK329" s="107">
        <f>225/50</f>
        <v>4.5</v>
      </c>
      <c r="AL329" s="107">
        <f>AK329*AI329</f>
        <v>2250</v>
      </c>
      <c r="AM329" s="99">
        <v>500</v>
      </c>
      <c r="AN329" s="100">
        <f t="shared" si="100"/>
        <v>3210</v>
      </c>
      <c r="AO329" s="108">
        <f t="shared" si="101"/>
        <v>2000</v>
      </c>
    </row>
    <row r="330" spans="1:50" ht="20.45" customHeight="1">
      <c r="A330" s="85" t="s">
        <v>1322</v>
      </c>
      <c r="B330" s="86">
        <v>306</v>
      </c>
      <c r="C330" s="87">
        <v>828443</v>
      </c>
      <c r="D330" s="88">
        <v>650883</v>
      </c>
      <c r="E330" s="88"/>
      <c r="F330" s="117" t="s">
        <v>1323</v>
      </c>
      <c r="G330" s="109" t="s">
        <v>1324</v>
      </c>
      <c r="H330" s="109"/>
      <c r="I330" s="91">
        <v>1</v>
      </c>
      <c r="J330" s="92" t="s">
        <v>184</v>
      </c>
      <c r="K330" s="93">
        <v>100</v>
      </c>
      <c r="L330" s="93" t="s">
        <v>84</v>
      </c>
      <c r="M330" s="116">
        <f>8*12/10</f>
        <v>9.6</v>
      </c>
      <c r="N330" s="116">
        <f>15*12/9</f>
        <v>20</v>
      </c>
      <c r="O330" s="116">
        <v>26.666666666666668</v>
      </c>
      <c r="P330" s="94">
        <v>30</v>
      </c>
      <c r="Q330" s="95">
        <v>0</v>
      </c>
      <c r="R330" s="96">
        <f>P330-Q330</f>
        <v>30</v>
      </c>
      <c r="S330" s="97">
        <v>220</v>
      </c>
      <c r="T330" s="98">
        <f t="shared" si="96"/>
        <v>6600</v>
      </c>
      <c r="U330" s="99">
        <v>0</v>
      </c>
      <c r="V330" s="100">
        <f t="shared" si="94"/>
        <v>0</v>
      </c>
      <c r="W330" s="101"/>
      <c r="X330" s="102"/>
      <c r="Y330" s="103"/>
      <c r="Z330" s="103"/>
      <c r="AA330" s="99">
        <v>20</v>
      </c>
      <c r="AB330" s="100">
        <f t="shared" si="97"/>
        <v>4400</v>
      </c>
      <c r="AC330" s="104">
        <v>20</v>
      </c>
      <c r="AD330" s="105" t="s">
        <v>203</v>
      </c>
      <c r="AE330" s="105">
        <f>669/5</f>
        <v>133.80000000000001</v>
      </c>
      <c r="AF330" s="105">
        <f t="shared" si="98"/>
        <v>2676</v>
      </c>
      <c r="AG330" s="99">
        <v>0</v>
      </c>
      <c r="AH330" s="100">
        <f t="shared" si="99"/>
        <v>0</v>
      </c>
      <c r="AI330" s="106">
        <v>20</v>
      </c>
      <c r="AJ330" s="107" t="s">
        <v>203</v>
      </c>
      <c r="AK330" s="107">
        <f>669/5</f>
        <v>133.80000000000001</v>
      </c>
      <c r="AL330" s="107">
        <f>AK330*AI330</f>
        <v>2676</v>
      </c>
      <c r="AM330" s="99">
        <v>10</v>
      </c>
      <c r="AN330" s="100">
        <f t="shared" si="100"/>
        <v>2200</v>
      </c>
      <c r="AO330" s="108">
        <f t="shared" si="101"/>
        <v>30</v>
      </c>
    </row>
    <row r="331" spans="1:50" ht="20.45" customHeight="1">
      <c r="A331" s="180" t="s">
        <v>1325</v>
      </c>
      <c r="B331" s="86">
        <v>307</v>
      </c>
      <c r="C331" s="181" t="s">
        <v>1326</v>
      </c>
      <c r="D331" s="88">
        <v>644864</v>
      </c>
      <c r="E331" s="88"/>
      <c r="F331" s="182" t="s">
        <v>1327</v>
      </c>
      <c r="G331" s="183" t="s">
        <v>1328</v>
      </c>
      <c r="H331" s="183"/>
      <c r="I331" s="184">
        <v>1</v>
      </c>
      <c r="J331" s="185" t="s">
        <v>83</v>
      </c>
      <c r="K331" s="186">
        <v>100</v>
      </c>
      <c r="L331" s="186" t="s">
        <v>84</v>
      </c>
      <c r="M331" s="187">
        <f>350*12/10</f>
        <v>420</v>
      </c>
      <c r="N331" s="187">
        <f>320/9*12</f>
        <v>426.66666666666669</v>
      </c>
      <c r="O331" s="187">
        <v>520</v>
      </c>
      <c r="P331" s="94">
        <v>520</v>
      </c>
      <c r="Q331" s="95">
        <v>0</v>
      </c>
      <c r="R331" s="96">
        <f>P331-Q331</f>
        <v>520</v>
      </c>
      <c r="S331" s="188">
        <v>150</v>
      </c>
      <c r="T331" s="98">
        <f t="shared" si="96"/>
        <v>78000</v>
      </c>
      <c r="U331" s="99">
        <v>130</v>
      </c>
      <c r="V331" s="189">
        <f t="shared" si="94"/>
        <v>19500</v>
      </c>
      <c r="W331" s="101">
        <v>130</v>
      </c>
      <c r="X331" s="102" t="s">
        <v>254</v>
      </c>
      <c r="Y331" s="103">
        <f>2*59.7</f>
        <v>119.4</v>
      </c>
      <c r="Z331" s="103">
        <f t="shared" ref="Z331:Z338" si="102">Y331*W331</f>
        <v>15522</v>
      </c>
      <c r="AA331" s="190">
        <v>130</v>
      </c>
      <c r="AB331" s="189">
        <f t="shared" si="97"/>
        <v>19500</v>
      </c>
      <c r="AC331" s="104">
        <v>130</v>
      </c>
      <c r="AD331" s="105" t="s">
        <v>254</v>
      </c>
      <c r="AE331" s="105">
        <v>119.4</v>
      </c>
      <c r="AF331" s="105">
        <f t="shared" si="98"/>
        <v>15522</v>
      </c>
      <c r="AG331" s="190">
        <v>130</v>
      </c>
      <c r="AH331" s="189">
        <f t="shared" si="99"/>
        <v>19500</v>
      </c>
      <c r="AI331" s="106">
        <f>26*5</f>
        <v>130</v>
      </c>
      <c r="AJ331" s="107" t="s">
        <v>715</v>
      </c>
      <c r="AK331" s="107">
        <f>605/5</f>
        <v>121</v>
      </c>
      <c r="AL331" s="107">
        <f>AK331*AI331</f>
        <v>15730</v>
      </c>
      <c r="AM331" s="190">
        <v>130</v>
      </c>
      <c r="AN331" s="189">
        <f t="shared" si="100"/>
        <v>19500</v>
      </c>
      <c r="AO331" s="108">
        <f t="shared" si="101"/>
        <v>520</v>
      </c>
      <c r="AP331" s="191"/>
      <c r="AQ331" s="191"/>
      <c r="AR331" s="191"/>
      <c r="AS331" s="191"/>
      <c r="AT331" s="191"/>
      <c r="AU331" s="191"/>
      <c r="AV331" s="191"/>
      <c r="AW331" s="191"/>
      <c r="AX331" s="191"/>
    </row>
    <row r="332" spans="1:50" ht="20.45" customHeight="1">
      <c r="A332" s="85" t="s">
        <v>1329</v>
      </c>
      <c r="B332" s="86">
        <v>308</v>
      </c>
      <c r="C332" s="87" t="s">
        <v>1330</v>
      </c>
      <c r="D332" s="88">
        <v>671919</v>
      </c>
      <c r="E332" s="88"/>
      <c r="F332" s="89" t="s">
        <v>1331</v>
      </c>
      <c r="G332" s="109" t="s">
        <v>1332</v>
      </c>
      <c r="H332" s="109"/>
      <c r="I332" s="91">
        <v>1</v>
      </c>
      <c r="J332" s="92" t="s">
        <v>1219</v>
      </c>
      <c r="K332" s="93">
        <v>1</v>
      </c>
      <c r="L332" s="93" t="s">
        <v>267</v>
      </c>
      <c r="M332" s="116">
        <f>993*12/10</f>
        <v>1191.5999999999999</v>
      </c>
      <c r="N332" s="116">
        <f>967/9*12</f>
        <v>1289.3333333333333</v>
      </c>
      <c r="O332" s="116">
        <v>1112</v>
      </c>
      <c r="P332" s="94">
        <v>1190</v>
      </c>
      <c r="Q332" s="95">
        <v>290</v>
      </c>
      <c r="R332" s="112">
        <v>1400</v>
      </c>
      <c r="S332" s="97">
        <v>8.56</v>
      </c>
      <c r="T332" s="98">
        <f t="shared" si="96"/>
        <v>11984</v>
      </c>
      <c r="U332" s="99">
        <v>500</v>
      </c>
      <c r="V332" s="100">
        <f t="shared" si="94"/>
        <v>4280</v>
      </c>
      <c r="W332" s="101">
        <v>500</v>
      </c>
      <c r="X332" s="102" t="s">
        <v>122</v>
      </c>
      <c r="Y332" s="103">
        <v>7</v>
      </c>
      <c r="Z332" s="103">
        <f t="shared" si="102"/>
        <v>3500</v>
      </c>
      <c r="AA332" s="99">
        <v>500</v>
      </c>
      <c r="AB332" s="100">
        <f t="shared" si="97"/>
        <v>4280</v>
      </c>
      <c r="AC332" s="104">
        <v>500</v>
      </c>
      <c r="AD332" s="105" t="s">
        <v>122</v>
      </c>
      <c r="AE332" s="105">
        <v>7</v>
      </c>
      <c r="AF332" s="105">
        <f t="shared" si="98"/>
        <v>3500</v>
      </c>
      <c r="AG332" s="99">
        <v>400</v>
      </c>
      <c r="AH332" s="100">
        <f t="shared" si="99"/>
        <v>3424</v>
      </c>
      <c r="AI332" s="106"/>
      <c r="AJ332" s="107"/>
      <c r="AK332" s="107"/>
      <c r="AL332" s="107"/>
      <c r="AM332" s="99">
        <v>0</v>
      </c>
      <c r="AN332" s="100">
        <f t="shared" si="100"/>
        <v>0</v>
      </c>
      <c r="AO332" s="108">
        <f t="shared" si="101"/>
        <v>1400</v>
      </c>
    </row>
    <row r="333" spans="1:50" ht="20.45" customHeight="1">
      <c r="A333" s="85" t="s">
        <v>1333</v>
      </c>
      <c r="B333" s="86">
        <v>309</v>
      </c>
      <c r="C333" s="87" t="s">
        <v>1334</v>
      </c>
      <c r="D333" s="88">
        <v>671974</v>
      </c>
      <c r="E333" s="88"/>
      <c r="F333" s="89" t="s">
        <v>1335</v>
      </c>
      <c r="G333" s="109" t="s">
        <v>1336</v>
      </c>
      <c r="H333" s="109" t="s">
        <v>110</v>
      </c>
      <c r="I333" s="91">
        <v>1</v>
      </c>
      <c r="J333" s="92" t="s">
        <v>1219</v>
      </c>
      <c r="K333" s="93">
        <v>1</v>
      </c>
      <c r="L333" s="93" t="s">
        <v>267</v>
      </c>
      <c r="M333" s="116">
        <f>953/10*12</f>
        <v>1143.5999999999999</v>
      </c>
      <c r="N333" s="116">
        <f>955/9*12</f>
        <v>1273.3333333333335</v>
      </c>
      <c r="O333" s="116">
        <v>1122.6666666666667</v>
      </c>
      <c r="P333" s="94">
        <v>1190</v>
      </c>
      <c r="Q333" s="133">
        <v>290</v>
      </c>
      <c r="R333" s="112">
        <v>1400</v>
      </c>
      <c r="S333" s="97">
        <v>10</v>
      </c>
      <c r="T333" s="98">
        <f t="shared" si="96"/>
        <v>14000</v>
      </c>
      <c r="U333" s="99">
        <v>500</v>
      </c>
      <c r="V333" s="100">
        <f t="shared" si="94"/>
        <v>5000</v>
      </c>
      <c r="W333" s="101">
        <v>500</v>
      </c>
      <c r="X333" s="102" t="s">
        <v>122</v>
      </c>
      <c r="Y333" s="103">
        <v>7</v>
      </c>
      <c r="Z333" s="103">
        <f t="shared" si="102"/>
        <v>3500</v>
      </c>
      <c r="AA333" s="99">
        <v>500</v>
      </c>
      <c r="AB333" s="100">
        <f t="shared" si="97"/>
        <v>5000</v>
      </c>
      <c r="AC333" s="104">
        <v>500</v>
      </c>
      <c r="AD333" s="105" t="s">
        <v>122</v>
      </c>
      <c r="AE333" s="105">
        <v>7</v>
      </c>
      <c r="AF333" s="105">
        <f t="shared" si="98"/>
        <v>3500</v>
      </c>
      <c r="AG333" s="99">
        <v>400</v>
      </c>
      <c r="AH333" s="100">
        <f t="shared" si="99"/>
        <v>4000</v>
      </c>
      <c r="AI333" s="106"/>
      <c r="AJ333" s="107"/>
      <c r="AK333" s="107"/>
      <c r="AL333" s="107"/>
      <c r="AM333" s="99">
        <v>0</v>
      </c>
      <c r="AN333" s="100">
        <f t="shared" si="100"/>
        <v>0</v>
      </c>
      <c r="AO333" s="108">
        <f t="shared" si="101"/>
        <v>1400</v>
      </c>
    </row>
    <row r="334" spans="1:50" ht="20.45" customHeight="1">
      <c r="A334" s="85" t="s">
        <v>1337</v>
      </c>
      <c r="B334" s="86">
        <v>310</v>
      </c>
      <c r="C334" s="87" t="s">
        <v>1338</v>
      </c>
      <c r="D334" s="142">
        <v>881512</v>
      </c>
      <c r="E334" s="142"/>
      <c r="F334" s="89" t="s">
        <v>1339</v>
      </c>
      <c r="G334" s="113" t="s">
        <v>1340</v>
      </c>
      <c r="H334" s="113"/>
      <c r="I334" s="114">
        <v>1</v>
      </c>
      <c r="J334" s="92" t="s">
        <v>88</v>
      </c>
      <c r="K334" s="93">
        <v>1</v>
      </c>
      <c r="L334" s="93" t="s">
        <v>202</v>
      </c>
      <c r="M334" s="116">
        <f>80*12/10</f>
        <v>96</v>
      </c>
      <c r="N334" s="116">
        <f>60/9*12</f>
        <v>80</v>
      </c>
      <c r="O334" s="116">
        <v>93.333333333333329</v>
      </c>
      <c r="P334" s="94">
        <v>100</v>
      </c>
      <c r="Q334" s="95">
        <v>100</v>
      </c>
      <c r="R334" s="112">
        <v>200</v>
      </c>
      <c r="S334" s="97">
        <v>12</v>
      </c>
      <c r="T334" s="98">
        <f t="shared" si="96"/>
        <v>2400</v>
      </c>
      <c r="U334" s="99">
        <v>200</v>
      </c>
      <c r="V334" s="100">
        <f t="shared" si="94"/>
        <v>2400</v>
      </c>
      <c r="W334" s="101">
        <v>200</v>
      </c>
      <c r="X334" s="102" t="s">
        <v>89</v>
      </c>
      <c r="Y334" s="103">
        <f>600/50</f>
        <v>12</v>
      </c>
      <c r="Z334" s="103">
        <f t="shared" si="102"/>
        <v>2400</v>
      </c>
      <c r="AA334" s="99">
        <v>0</v>
      </c>
      <c r="AB334" s="100">
        <f t="shared" si="97"/>
        <v>0</v>
      </c>
      <c r="AC334" s="104"/>
      <c r="AD334" s="105"/>
      <c r="AE334" s="105"/>
      <c r="AF334" s="105"/>
      <c r="AG334" s="99">
        <v>0</v>
      </c>
      <c r="AH334" s="100">
        <f t="shared" si="99"/>
        <v>0</v>
      </c>
      <c r="AI334" s="106"/>
      <c r="AJ334" s="107"/>
      <c r="AK334" s="107"/>
      <c r="AL334" s="107"/>
      <c r="AM334" s="99">
        <v>0</v>
      </c>
      <c r="AN334" s="100">
        <f t="shared" si="100"/>
        <v>0</v>
      </c>
      <c r="AO334" s="108">
        <f t="shared" si="101"/>
        <v>200</v>
      </c>
    </row>
    <row r="335" spans="1:50" ht="20.45" customHeight="1">
      <c r="A335" s="85" t="s">
        <v>1341</v>
      </c>
      <c r="B335" s="86">
        <v>311</v>
      </c>
      <c r="C335" s="87" t="s">
        <v>1342</v>
      </c>
      <c r="D335" s="88">
        <v>970149</v>
      </c>
      <c r="E335" s="88"/>
      <c r="F335" s="89" t="s">
        <v>1343</v>
      </c>
      <c r="G335" s="109" t="s">
        <v>1344</v>
      </c>
      <c r="H335" s="109"/>
      <c r="I335" s="91">
        <v>1</v>
      </c>
      <c r="J335" s="92" t="s">
        <v>51</v>
      </c>
      <c r="K335" s="93">
        <v>1</v>
      </c>
      <c r="L335" s="93" t="s">
        <v>52</v>
      </c>
      <c r="M335" s="116">
        <f>130/10*12</f>
        <v>156</v>
      </c>
      <c r="N335" s="116">
        <f>216/9*12</f>
        <v>288</v>
      </c>
      <c r="O335" s="116">
        <v>384</v>
      </c>
      <c r="P335" s="94">
        <v>360</v>
      </c>
      <c r="Q335" s="95">
        <v>0</v>
      </c>
      <c r="R335" s="96">
        <f>P335-Q335</f>
        <v>360</v>
      </c>
      <c r="S335" s="97">
        <v>16.91</v>
      </c>
      <c r="T335" s="98">
        <f t="shared" si="96"/>
        <v>6087.6</v>
      </c>
      <c r="U335" s="99">
        <v>240</v>
      </c>
      <c r="V335" s="100">
        <f t="shared" si="94"/>
        <v>4058.4</v>
      </c>
      <c r="W335" s="101">
        <v>240</v>
      </c>
      <c r="X335" s="102" t="s">
        <v>160</v>
      </c>
      <c r="Y335" s="103">
        <f>192/12</f>
        <v>16</v>
      </c>
      <c r="Z335" s="103">
        <f t="shared" si="102"/>
        <v>3840</v>
      </c>
      <c r="AA335" s="99">
        <v>0</v>
      </c>
      <c r="AB335" s="100">
        <f t="shared" si="97"/>
        <v>0</v>
      </c>
      <c r="AC335" s="104"/>
      <c r="AD335" s="105"/>
      <c r="AE335" s="105"/>
      <c r="AF335" s="105"/>
      <c r="AG335" s="99">
        <v>120</v>
      </c>
      <c r="AH335" s="100">
        <f t="shared" si="99"/>
        <v>2029.2</v>
      </c>
      <c r="AI335" s="106">
        <v>120</v>
      </c>
      <c r="AJ335" s="107" t="s">
        <v>160</v>
      </c>
      <c r="AK335" s="107">
        <f>192/12</f>
        <v>16</v>
      </c>
      <c r="AL335" s="107">
        <f>AK335*AI335</f>
        <v>1920</v>
      </c>
      <c r="AM335" s="99">
        <v>0</v>
      </c>
      <c r="AN335" s="100">
        <f t="shared" si="100"/>
        <v>0</v>
      </c>
      <c r="AO335" s="108">
        <f t="shared" si="101"/>
        <v>360</v>
      </c>
    </row>
    <row r="336" spans="1:50" ht="20.45" customHeight="1">
      <c r="A336" s="85" t="s">
        <v>1345</v>
      </c>
      <c r="B336" s="86">
        <v>312</v>
      </c>
      <c r="C336" s="87" t="s">
        <v>1346</v>
      </c>
      <c r="D336" s="88">
        <v>799008</v>
      </c>
      <c r="E336" s="88"/>
      <c r="F336" s="89" t="s">
        <v>1347</v>
      </c>
      <c r="G336" s="109" t="s">
        <v>1348</v>
      </c>
      <c r="H336" s="109"/>
      <c r="I336" s="91">
        <v>1</v>
      </c>
      <c r="J336" s="92" t="s">
        <v>1219</v>
      </c>
      <c r="K336" s="93">
        <v>50</v>
      </c>
      <c r="L336" s="93" t="s">
        <v>95</v>
      </c>
      <c r="M336" s="116">
        <f>1529/50*12/10</f>
        <v>36.695999999999998</v>
      </c>
      <c r="N336" s="116">
        <f>313</f>
        <v>313</v>
      </c>
      <c r="O336" s="116">
        <v>37.226666666666667</v>
      </c>
      <c r="P336" s="94">
        <v>36</v>
      </c>
      <c r="Q336" s="95">
        <v>0</v>
      </c>
      <c r="R336" s="112">
        <v>50</v>
      </c>
      <c r="S336" s="97">
        <v>190</v>
      </c>
      <c r="T336" s="98">
        <f t="shared" si="96"/>
        <v>9500</v>
      </c>
      <c r="U336" s="99">
        <v>20</v>
      </c>
      <c r="V336" s="100">
        <f t="shared" si="94"/>
        <v>3800</v>
      </c>
      <c r="W336" s="101">
        <v>20</v>
      </c>
      <c r="X336" s="102" t="s">
        <v>89</v>
      </c>
      <c r="Y336" s="103">
        <v>150</v>
      </c>
      <c r="Z336" s="103">
        <f t="shared" si="102"/>
        <v>3000</v>
      </c>
      <c r="AA336" s="99">
        <v>10</v>
      </c>
      <c r="AB336" s="100">
        <f t="shared" si="97"/>
        <v>1900</v>
      </c>
      <c r="AC336" s="104"/>
      <c r="AD336" s="105"/>
      <c r="AE336" s="105"/>
      <c r="AF336" s="105"/>
      <c r="AG336" s="99">
        <v>10</v>
      </c>
      <c r="AH336" s="100">
        <f t="shared" si="99"/>
        <v>1900</v>
      </c>
      <c r="AI336" s="106">
        <v>20</v>
      </c>
      <c r="AJ336" s="107" t="s">
        <v>160</v>
      </c>
      <c r="AK336" s="107">
        <v>95</v>
      </c>
      <c r="AL336" s="107">
        <f>AK336*AI336</f>
        <v>1900</v>
      </c>
      <c r="AM336" s="99">
        <v>10</v>
      </c>
      <c r="AN336" s="100">
        <f t="shared" si="100"/>
        <v>1900</v>
      </c>
      <c r="AO336" s="108">
        <f t="shared" si="101"/>
        <v>50</v>
      </c>
      <c r="AP336" s="192"/>
      <c r="AQ336" s="192"/>
      <c r="AR336" s="192"/>
      <c r="AS336" s="192"/>
      <c r="AT336" s="192"/>
      <c r="AU336" s="192"/>
      <c r="AV336" s="192"/>
      <c r="AW336" s="192"/>
      <c r="AX336" s="192"/>
    </row>
    <row r="337" spans="1:50" ht="20.45" customHeight="1">
      <c r="A337" s="85" t="s">
        <v>1349</v>
      </c>
      <c r="B337" s="86">
        <v>313</v>
      </c>
      <c r="C337" s="87" t="s">
        <v>1350</v>
      </c>
      <c r="D337" s="88">
        <v>523143</v>
      </c>
      <c r="E337" s="88"/>
      <c r="F337" s="89" t="s">
        <v>1351</v>
      </c>
      <c r="G337" s="109" t="s">
        <v>1352</v>
      </c>
      <c r="H337" s="109"/>
      <c r="I337" s="91">
        <v>1</v>
      </c>
      <c r="J337" s="92" t="s">
        <v>327</v>
      </c>
      <c r="K337" s="93">
        <v>1</v>
      </c>
      <c r="L337" s="93" t="s">
        <v>52</v>
      </c>
      <c r="M337" s="116">
        <v>172</v>
      </c>
      <c r="N337" s="116">
        <v>43</v>
      </c>
      <c r="O337" s="116">
        <v>13.333333333333334</v>
      </c>
      <c r="P337" s="94">
        <v>140</v>
      </c>
      <c r="Q337" s="95">
        <v>140</v>
      </c>
      <c r="R337" s="112">
        <v>60</v>
      </c>
      <c r="S337" s="110">
        <v>300</v>
      </c>
      <c r="T337" s="98">
        <f t="shared" si="96"/>
        <v>18000</v>
      </c>
      <c r="U337" s="99">
        <v>0</v>
      </c>
      <c r="V337" s="100">
        <f t="shared" si="94"/>
        <v>0</v>
      </c>
      <c r="W337" s="101"/>
      <c r="X337" s="102"/>
      <c r="Y337" s="103"/>
      <c r="Z337" s="103">
        <f t="shared" si="102"/>
        <v>0</v>
      </c>
      <c r="AA337" s="99">
        <v>60</v>
      </c>
      <c r="AB337" s="100">
        <f t="shared" si="97"/>
        <v>18000</v>
      </c>
      <c r="AC337" s="104">
        <v>60</v>
      </c>
      <c r="AD337" s="105" t="s">
        <v>197</v>
      </c>
      <c r="AE337" s="105">
        <v>246.1</v>
      </c>
      <c r="AF337" s="105">
        <f>AE337*AC337</f>
        <v>14766</v>
      </c>
      <c r="AG337" s="99">
        <v>0</v>
      </c>
      <c r="AH337" s="100">
        <f t="shared" si="99"/>
        <v>0</v>
      </c>
      <c r="AI337" s="106"/>
      <c r="AJ337" s="107"/>
      <c r="AK337" s="107"/>
      <c r="AL337" s="107"/>
      <c r="AM337" s="99">
        <v>0</v>
      </c>
      <c r="AN337" s="100">
        <f t="shared" si="100"/>
        <v>0</v>
      </c>
      <c r="AO337" s="108">
        <f t="shared" si="101"/>
        <v>60</v>
      </c>
    </row>
    <row r="338" spans="1:50" ht="20.45" customHeight="1">
      <c r="A338" s="85" t="s">
        <v>1353</v>
      </c>
      <c r="B338" s="86">
        <v>314</v>
      </c>
      <c r="C338" s="87" t="s">
        <v>1354</v>
      </c>
      <c r="D338" s="88">
        <v>519005</v>
      </c>
      <c r="E338" s="88"/>
      <c r="F338" s="89" t="s">
        <v>1355</v>
      </c>
      <c r="G338" s="109" t="s">
        <v>1356</v>
      </c>
      <c r="H338" s="109"/>
      <c r="I338" s="91">
        <v>1</v>
      </c>
      <c r="J338" s="92" t="s">
        <v>1219</v>
      </c>
      <c r="K338" s="93">
        <v>1</v>
      </c>
      <c r="L338" s="93" t="s">
        <v>52</v>
      </c>
      <c r="M338" s="116">
        <f>390/10*12</f>
        <v>468</v>
      </c>
      <c r="N338" s="116">
        <f>140/9*12</f>
        <v>186.66666666666666</v>
      </c>
      <c r="O338" s="116">
        <v>546.66666666666663</v>
      </c>
      <c r="P338" s="94">
        <v>560</v>
      </c>
      <c r="Q338" s="95">
        <v>60</v>
      </c>
      <c r="R338" s="96">
        <f>P338-Q338</f>
        <v>500</v>
      </c>
      <c r="S338" s="97">
        <v>34</v>
      </c>
      <c r="T338" s="98">
        <f t="shared" si="96"/>
        <v>17000</v>
      </c>
      <c r="U338" s="99">
        <v>200</v>
      </c>
      <c r="V338" s="100">
        <f t="shared" si="94"/>
        <v>6800</v>
      </c>
      <c r="W338" s="101">
        <v>200</v>
      </c>
      <c r="X338" s="102" t="s">
        <v>1357</v>
      </c>
      <c r="Y338" s="103">
        <v>34</v>
      </c>
      <c r="Z338" s="103">
        <f t="shared" si="102"/>
        <v>6800</v>
      </c>
      <c r="AA338" s="99">
        <v>100</v>
      </c>
      <c r="AB338" s="100">
        <f t="shared" si="97"/>
        <v>3400</v>
      </c>
      <c r="AC338" s="104">
        <v>100</v>
      </c>
      <c r="AD338" s="105" t="s">
        <v>1357</v>
      </c>
      <c r="AE338" s="134">
        <v>34</v>
      </c>
      <c r="AF338" s="105">
        <f>AE338*AC338</f>
        <v>3400</v>
      </c>
      <c r="AG338" s="99">
        <v>100</v>
      </c>
      <c r="AH338" s="100">
        <f t="shared" si="99"/>
        <v>3400</v>
      </c>
      <c r="AI338" s="106">
        <v>100</v>
      </c>
      <c r="AJ338" s="107" t="s">
        <v>1357</v>
      </c>
      <c r="AK338" s="107">
        <v>34</v>
      </c>
      <c r="AL338" s="107">
        <f t="shared" ref="AL338:AL344" si="103">AK338*AI338</f>
        <v>3400</v>
      </c>
      <c r="AM338" s="99">
        <v>100</v>
      </c>
      <c r="AN338" s="100">
        <f t="shared" si="100"/>
        <v>3400</v>
      </c>
      <c r="AO338" s="108">
        <f t="shared" si="101"/>
        <v>500</v>
      </c>
    </row>
    <row r="339" spans="1:50" s="199" customFormat="1" ht="20.45" customHeight="1">
      <c r="A339" s="180" t="s">
        <v>1358</v>
      </c>
      <c r="B339" s="86">
        <v>315</v>
      </c>
      <c r="C339" s="181" t="s">
        <v>1359</v>
      </c>
      <c r="D339" s="88">
        <v>644552</v>
      </c>
      <c r="E339" s="88"/>
      <c r="F339" s="182" t="s">
        <v>1360</v>
      </c>
      <c r="G339" s="193" t="s">
        <v>1361</v>
      </c>
      <c r="H339" s="193"/>
      <c r="I339" s="194">
        <v>1</v>
      </c>
      <c r="J339" s="195" t="s">
        <v>83</v>
      </c>
      <c r="K339" s="196">
        <v>1000</v>
      </c>
      <c r="L339" s="196" t="s">
        <v>84</v>
      </c>
      <c r="M339" s="187">
        <f>15.8*12/10</f>
        <v>18.96</v>
      </c>
      <c r="N339" s="187">
        <f>17.2/9*12</f>
        <v>22.93333333333333</v>
      </c>
      <c r="O339" s="187">
        <v>28.533333333333328</v>
      </c>
      <c r="P339" s="94">
        <v>30</v>
      </c>
      <c r="Q339" s="95">
        <v>0</v>
      </c>
      <c r="R339" s="145">
        <v>20</v>
      </c>
      <c r="S339" s="197">
        <v>1070</v>
      </c>
      <c r="T339" s="98">
        <f t="shared" si="96"/>
        <v>21400</v>
      </c>
      <c r="U339" s="99">
        <v>0</v>
      </c>
      <c r="V339" s="189">
        <f t="shared" si="94"/>
        <v>0</v>
      </c>
      <c r="W339" s="101"/>
      <c r="X339" s="102"/>
      <c r="Y339" s="103"/>
      <c r="Z339" s="103"/>
      <c r="AA339" s="190">
        <v>10</v>
      </c>
      <c r="AB339" s="189">
        <f t="shared" si="97"/>
        <v>10700</v>
      </c>
      <c r="AC339" s="104">
        <v>10</v>
      </c>
      <c r="AD339" s="105" t="s">
        <v>240</v>
      </c>
      <c r="AE339" s="105">
        <v>1070</v>
      </c>
      <c r="AF339" s="105">
        <f>AE339*AC339</f>
        <v>10700</v>
      </c>
      <c r="AG339" s="190">
        <v>10</v>
      </c>
      <c r="AH339" s="189">
        <f t="shared" si="99"/>
        <v>10700</v>
      </c>
      <c r="AI339" s="106">
        <v>10</v>
      </c>
      <c r="AJ339" s="107" t="s">
        <v>240</v>
      </c>
      <c r="AK339" s="107">
        <v>1070</v>
      </c>
      <c r="AL339" s="107">
        <f t="shared" si="103"/>
        <v>10700</v>
      </c>
      <c r="AM339" s="190">
        <v>0</v>
      </c>
      <c r="AN339" s="189">
        <f t="shared" si="100"/>
        <v>0</v>
      </c>
      <c r="AO339" s="108">
        <f t="shared" si="101"/>
        <v>20</v>
      </c>
      <c r="AP339" s="191"/>
      <c r="AQ339" s="191"/>
      <c r="AR339" s="191"/>
      <c r="AS339" s="191"/>
      <c r="AT339" s="191"/>
      <c r="AU339" s="191"/>
      <c r="AV339" s="191"/>
      <c r="AW339" s="191"/>
      <c r="AX339" s="191"/>
    </row>
    <row r="340" spans="1:50" ht="20.45" customHeight="1">
      <c r="A340" s="85" t="s">
        <v>1362</v>
      </c>
      <c r="B340" s="86">
        <v>316</v>
      </c>
      <c r="C340" s="87" t="s">
        <v>1363</v>
      </c>
      <c r="D340" s="88">
        <v>644620</v>
      </c>
      <c r="E340" s="88"/>
      <c r="F340" s="89" t="s">
        <v>1364</v>
      </c>
      <c r="G340" s="109" t="s">
        <v>1365</v>
      </c>
      <c r="H340" s="109"/>
      <c r="I340" s="91">
        <v>1</v>
      </c>
      <c r="J340" s="92" t="s">
        <v>83</v>
      </c>
      <c r="K340" s="93">
        <v>100</v>
      </c>
      <c r="L340" s="93" t="s">
        <v>84</v>
      </c>
      <c r="M340" s="116">
        <f>213/10*12</f>
        <v>255.60000000000002</v>
      </c>
      <c r="N340" s="116">
        <v>308</v>
      </c>
      <c r="O340" s="116">
        <v>342.66666666666669</v>
      </c>
      <c r="P340" s="94">
        <v>329</v>
      </c>
      <c r="Q340" s="95">
        <v>29</v>
      </c>
      <c r="R340" s="112">
        <v>375</v>
      </c>
      <c r="S340" s="97">
        <v>1007</v>
      </c>
      <c r="T340" s="98">
        <f t="shared" si="96"/>
        <v>377625</v>
      </c>
      <c r="U340" s="99">
        <v>150</v>
      </c>
      <c r="V340" s="100">
        <f t="shared" si="94"/>
        <v>151050</v>
      </c>
      <c r="W340" s="101">
        <f>2*75</f>
        <v>150</v>
      </c>
      <c r="X340" s="102" t="s">
        <v>197</v>
      </c>
      <c r="Y340" s="103">
        <v>1005.8</v>
      </c>
      <c r="Z340" s="103">
        <f>Y340*W340</f>
        <v>150870</v>
      </c>
      <c r="AA340" s="99">
        <v>75</v>
      </c>
      <c r="AB340" s="100">
        <f t="shared" si="97"/>
        <v>75525</v>
      </c>
      <c r="AC340" s="104">
        <v>75</v>
      </c>
      <c r="AD340" s="105" t="s">
        <v>197</v>
      </c>
      <c r="AE340" s="105">
        <v>1005.8</v>
      </c>
      <c r="AF340" s="105">
        <f>AE340*AC340</f>
        <v>75435</v>
      </c>
      <c r="AG340" s="99">
        <v>75</v>
      </c>
      <c r="AH340" s="100">
        <f t="shared" si="99"/>
        <v>75525</v>
      </c>
      <c r="AI340" s="106">
        <v>75</v>
      </c>
      <c r="AJ340" s="107" t="s">
        <v>197</v>
      </c>
      <c r="AK340" s="107">
        <v>1005.8</v>
      </c>
      <c r="AL340" s="107">
        <f t="shared" si="103"/>
        <v>75435</v>
      </c>
      <c r="AM340" s="99">
        <v>75</v>
      </c>
      <c r="AN340" s="100">
        <f t="shared" si="100"/>
        <v>75525</v>
      </c>
      <c r="AO340" s="108">
        <f t="shared" si="101"/>
        <v>375</v>
      </c>
    </row>
    <row r="341" spans="1:50" ht="20.45" customHeight="1">
      <c r="A341" s="85" t="s">
        <v>1370</v>
      </c>
      <c r="B341" s="86">
        <v>318</v>
      </c>
      <c r="C341" s="87">
        <v>421163</v>
      </c>
      <c r="D341" s="88">
        <v>257034</v>
      </c>
      <c r="E341" s="88"/>
      <c r="F341" s="117" t="s">
        <v>1371</v>
      </c>
      <c r="G341" s="90" t="s">
        <v>1372</v>
      </c>
      <c r="H341" s="90"/>
      <c r="I341" s="93">
        <v>1</v>
      </c>
      <c r="J341" s="92" t="s">
        <v>83</v>
      </c>
      <c r="K341" s="93">
        <v>1000</v>
      </c>
      <c r="L341" s="93" t="s">
        <v>84</v>
      </c>
      <c r="M341" s="94">
        <v>8</v>
      </c>
      <c r="N341" s="94">
        <f>7/9*12</f>
        <v>9.3333333333333339</v>
      </c>
      <c r="O341" s="94">
        <v>14.666666666666666</v>
      </c>
      <c r="P341" s="94">
        <v>15</v>
      </c>
      <c r="Q341" s="95">
        <v>0</v>
      </c>
      <c r="R341" s="145">
        <v>10</v>
      </c>
      <c r="S341" s="97">
        <v>250</v>
      </c>
      <c r="T341" s="98">
        <f t="shared" si="96"/>
        <v>2500</v>
      </c>
      <c r="U341" s="99">
        <v>0</v>
      </c>
      <c r="V341" s="100">
        <f t="shared" si="94"/>
        <v>0</v>
      </c>
      <c r="W341" s="101"/>
      <c r="X341" s="102"/>
      <c r="Y341" s="103"/>
      <c r="Z341" s="103"/>
      <c r="AA341" s="99">
        <v>0</v>
      </c>
      <c r="AB341" s="100">
        <f t="shared" si="97"/>
        <v>0</v>
      </c>
      <c r="AC341" s="104"/>
      <c r="AD341" s="105"/>
      <c r="AE341" s="105"/>
      <c r="AF341" s="105"/>
      <c r="AG341" s="99">
        <v>10</v>
      </c>
      <c r="AH341" s="100">
        <f t="shared" si="99"/>
        <v>2500</v>
      </c>
      <c r="AI341" s="106">
        <v>10</v>
      </c>
      <c r="AJ341" s="107" t="s">
        <v>1016</v>
      </c>
      <c r="AK341" s="107">
        <v>246.1</v>
      </c>
      <c r="AL341" s="107">
        <f t="shared" si="103"/>
        <v>2461</v>
      </c>
      <c r="AM341" s="99">
        <v>0</v>
      </c>
      <c r="AN341" s="100">
        <f t="shared" si="100"/>
        <v>0</v>
      </c>
      <c r="AO341" s="108">
        <f t="shared" si="101"/>
        <v>10</v>
      </c>
    </row>
    <row r="342" spans="1:50" ht="20.45" customHeight="1">
      <c r="A342" s="85" t="s">
        <v>1373</v>
      </c>
      <c r="B342" s="86">
        <v>319</v>
      </c>
      <c r="C342" s="87" t="s">
        <v>1374</v>
      </c>
      <c r="D342" s="88">
        <v>580041</v>
      </c>
      <c r="E342" s="302"/>
      <c r="F342" s="304" t="s">
        <v>1375</v>
      </c>
      <c r="G342" s="90" t="s">
        <v>1376</v>
      </c>
      <c r="H342" s="90"/>
      <c r="I342" s="91">
        <v>1</v>
      </c>
      <c r="J342" s="92" t="s">
        <v>88</v>
      </c>
      <c r="K342" s="93">
        <v>1</v>
      </c>
      <c r="L342" s="93" t="s">
        <v>73</v>
      </c>
      <c r="M342" s="94">
        <f>600/10*12</f>
        <v>720</v>
      </c>
      <c r="N342" s="94">
        <f>1250/9*12</f>
        <v>1666.6666666666665</v>
      </c>
      <c r="O342" s="94">
        <v>733.33333333333337</v>
      </c>
      <c r="P342" s="94">
        <v>700</v>
      </c>
      <c r="Q342" s="95">
        <v>700</v>
      </c>
      <c r="R342" s="112">
        <v>500</v>
      </c>
      <c r="S342" s="97">
        <v>3.2</v>
      </c>
      <c r="T342" s="98">
        <f t="shared" si="96"/>
        <v>1600</v>
      </c>
      <c r="U342" s="99">
        <v>0</v>
      </c>
      <c r="V342" s="100">
        <f t="shared" si="94"/>
        <v>0</v>
      </c>
      <c r="W342" s="101"/>
      <c r="X342" s="102"/>
      <c r="Y342" s="103"/>
      <c r="Z342" s="103"/>
      <c r="AA342" s="99">
        <v>500</v>
      </c>
      <c r="AB342" s="100">
        <f t="shared" si="97"/>
        <v>1600</v>
      </c>
      <c r="AC342" s="104">
        <v>500</v>
      </c>
      <c r="AD342" s="105" t="s">
        <v>483</v>
      </c>
      <c r="AE342" s="105">
        <v>3.12</v>
      </c>
      <c r="AF342" s="105">
        <f>AE342*AC342</f>
        <v>1560</v>
      </c>
      <c r="AG342" s="99">
        <v>0</v>
      </c>
      <c r="AH342" s="100">
        <f t="shared" si="99"/>
        <v>0</v>
      </c>
      <c r="AI342" s="106"/>
      <c r="AJ342" s="107"/>
      <c r="AK342" s="107"/>
      <c r="AL342" s="107">
        <f t="shared" si="103"/>
        <v>0</v>
      </c>
      <c r="AM342" s="99">
        <v>0</v>
      </c>
      <c r="AN342" s="100">
        <f t="shared" si="100"/>
        <v>0</v>
      </c>
      <c r="AO342" s="108">
        <f t="shared" si="101"/>
        <v>500</v>
      </c>
    </row>
    <row r="343" spans="1:50" ht="20.45" customHeight="1">
      <c r="A343" s="85" t="s">
        <v>1377</v>
      </c>
      <c r="B343" s="86">
        <v>320</v>
      </c>
      <c r="C343" s="87" t="s">
        <v>1378</v>
      </c>
      <c r="D343" s="88">
        <v>256854</v>
      </c>
      <c r="E343" s="88"/>
      <c r="F343" s="89" t="s">
        <v>1379</v>
      </c>
      <c r="G343" s="90" t="s">
        <v>1380</v>
      </c>
      <c r="H343" s="90"/>
      <c r="I343" s="91">
        <v>1</v>
      </c>
      <c r="J343" s="92" t="s">
        <v>83</v>
      </c>
      <c r="K343" s="93">
        <v>1000</v>
      </c>
      <c r="L343" s="93" t="s">
        <v>84</v>
      </c>
      <c r="M343" s="94">
        <f>30/10*12</f>
        <v>36</v>
      </c>
      <c r="N343" s="94">
        <f>25/9*12</f>
        <v>33.333333333333329</v>
      </c>
      <c r="O343" s="94">
        <v>61.333333333333336</v>
      </c>
      <c r="P343" s="94">
        <v>62</v>
      </c>
      <c r="Q343" s="95">
        <v>12</v>
      </c>
      <c r="R343" s="112">
        <v>60</v>
      </c>
      <c r="S343" s="110">
        <v>300</v>
      </c>
      <c r="T343" s="98">
        <f t="shared" si="96"/>
        <v>18000</v>
      </c>
      <c r="U343" s="99">
        <v>15</v>
      </c>
      <c r="V343" s="100">
        <f t="shared" si="94"/>
        <v>4500</v>
      </c>
      <c r="W343" s="101">
        <v>15</v>
      </c>
      <c r="X343" s="102" t="s">
        <v>240</v>
      </c>
      <c r="Y343" s="103">
        <v>288.89999999999998</v>
      </c>
      <c r="Z343" s="103">
        <f>Y343*W343</f>
        <v>4333.5</v>
      </c>
      <c r="AA343" s="99">
        <v>20</v>
      </c>
      <c r="AB343" s="100">
        <f t="shared" si="97"/>
        <v>6000</v>
      </c>
      <c r="AC343" s="104">
        <f>2*10</f>
        <v>20</v>
      </c>
      <c r="AD343" s="105" t="s">
        <v>240</v>
      </c>
      <c r="AE343" s="105">
        <v>288.89999999999998</v>
      </c>
      <c r="AF343" s="105">
        <f>AE343*AC343</f>
        <v>5778</v>
      </c>
      <c r="AG343" s="99">
        <v>15</v>
      </c>
      <c r="AH343" s="100">
        <f t="shared" si="99"/>
        <v>4500</v>
      </c>
      <c r="AI343" s="106">
        <v>15</v>
      </c>
      <c r="AJ343" s="107" t="s">
        <v>240</v>
      </c>
      <c r="AK343" s="107">
        <v>288.89999999999998</v>
      </c>
      <c r="AL343" s="107">
        <f t="shared" si="103"/>
        <v>4333.5</v>
      </c>
      <c r="AM343" s="99">
        <v>10</v>
      </c>
      <c r="AN343" s="100">
        <f t="shared" si="100"/>
        <v>3000</v>
      </c>
      <c r="AO343" s="108">
        <f t="shared" si="101"/>
        <v>60</v>
      </c>
    </row>
    <row r="344" spans="1:50" ht="20.45" customHeight="1">
      <c r="A344" s="85" t="s">
        <v>1385</v>
      </c>
      <c r="B344" s="86">
        <v>322</v>
      </c>
      <c r="C344" s="87" t="s">
        <v>1386</v>
      </c>
      <c r="D344" s="88">
        <v>665283</v>
      </c>
      <c r="E344" s="88"/>
      <c r="F344" s="89" t="s">
        <v>1387</v>
      </c>
      <c r="G344" s="90" t="s">
        <v>1388</v>
      </c>
      <c r="H344" s="90"/>
      <c r="I344" s="91">
        <v>1</v>
      </c>
      <c r="J344" s="92" t="s">
        <v>83</v>
      </c>
      <c r="K344" s="93">
        <v>1000</v>
      </c>
      <c r="L344" s="93" t="s">
        <v>84</v>
      </c>
      <c r="M344" s="94">
        <f>112*12/10</f>
        <v>134.4</v>
      </c>
      <c r="N344" s="94">
        <f>17.35*12/9</f>
        <v>23.133333333333336</v>
      </c>
      <c r="O344" s="94">
        <v>9.9333333333333336</v>
      </c>
      <c r="P344" s="94">
        <v>120</v>
      </c>
      <c r="Q344" s="95">
        <v>0</v>
      </c>
      <c r="R344" s="112">
        <v>150</v>
      </c>
      <c r="S344" s="97">
        <v>230</v>
      </c>
      <c r="T344" s="98">
        <f t="shared" si="96"/>
        <v>34500</v>
      </c>
      <c r="U344" s="99">
        <v>30</v>
      </c>
      <c r="V344" s="100">
        <f t="shared" si="94"/>
        <v>6900</v>
      </c>
      <c r="W344" s="101">
        <v>30</v>
      </c>
      <c r="X344" s="102" t="s">
        <v>623</v>
      </c>
      <c r="Y344" s="103">
        <v>230</v>
      </c>
      <c r="Z344" s="103">
        <f>Y344*W344</f>
        <v>6900</v>
      </c>
      <c r="AA344" s="99">
        <v>60</v>
      </c>
      <c r="AB344" s="100">
        <f t="shared" si="97"/>
        <v>13800</v>
      </c>
      <c r="AC344" s="104">
        <f>2*30</f>
        <v>60</v>
      </c>
      <c r="AD344" s="105" t="s">
        <v>623</v>
      </c>
      <c r="AE344" s="105">
        <v>230</v>
      </c>
      <c r="AF344" s="105">
        <f>AE344*AC344</f>
        <v>13800</v>
      </c>
      <c r="AG344" s="99">
        <v>30</v>
      </c>
      <c r="AH344" s="100">
        <f t="shared" si="99"/>
        <v>6900</v>
      </c>
      <c r="AI344" s="106">
        <v>50</v>
      </c>
      <c r="AJ344" s="107" t="s">
        <v>623</v>
      </c>
      <c r="AK344" s="107">
        <v>230</v>
      </c>
      <c r="AL344" s="107">
        <f t="shared" si="103"/>
        <v>11500</v>
      </c>
      <c r="AM344" s="99">
        <v>30</v>
      </c>
      <c r="AN344" s="100">
        <f t="shared" si="100"/>
        <v>6900</v>
      </c>
      <c r="AO344" s="108">
        <f t="shared" si="101"/>
        <v>150</v>
      </c>
    </row>
    <row r="345" spans="1:50" ht="20.45" customHeight="1">
      <c r="A345" s="85" t="s">
        <v>1389</v>
      </c>
      <c r="B345" s="86">
        <v>323</v>
      </c>
      <c r="C345" s="87" t="s">
        <v>1390</v>
      </c>
      <c r="D345" s="88">
        <v>575052</v>
      </c>
      <c r="E345" s="88"/>
      <c r="F345" s="89" t="s">
        <v>1391</v>
      </c>
      <c r="G345" s="109" t="s">
        <v>1392</v>
      </c>
      <c r="H345" s="109"/>
      <c r="I345" s="91">
        <v>1</v>
      </c>
      <c r="J345" s="92" t="s">
        <v>88</v>
      </c>
      <c r="K345" s="93">
        <v>1</v>
      </c>
      <c r="L345" s="93" t="s">
        <v>73</v>
      </c>
      <c r="M345" s="94">
        <f>150/10*12</f>
        <v>180</v>
      </c>
      <c r="N345" s="94">
        <f>81/9*12</f>
        <v>108</v>
      </c>
      <c r="O345" s="94">
        <v>40</v>
      </c>
      <c r="P345" s="94">
        <v>50</v>
      </c>
      <c r="Q345" s="95">
        <v>50</v>
      </c>
      <c r="R345" s="96">
        <f>P345-Q345</f>
        <v>0</v>
      </c>
      <c r="S345" s="97">
        <v>14.82</v>
      </c>
      <c r="T345" s="98">
        <f t="shared" si="96"/>
        <v>0</v>
      </c>
      <c r="U345" s="99">
        <v>0</v>
      </c>
      <c r="V345" s="100">
        <f t="shared" si="94"/>
        <v>0</v>
      </c>
      <c r="W345" s="101"/>
      <c r="X345" s="102"/>
      <c r="Y345" s="103"/>
      <c r="Z345" s="103"/>
      <c r="AA345" s="99">
        <v>0</v>
      </c>
      <c r="AB345" s="100">
        <f t="shared" si="97"/>
        <v>0</v>
      </c>
      <c r="AC345" s="104"/>
      <c r="AD345" s="105"/>
      <c r="AE345" s="105"/>
      <c r="AF345" s="105"/>
      <c r="AG345" s="99">
        <v>0</v>
      </c>
      <c r="AH345" s="100">
        <f t="shared" si="99"/>
        <v>0</v>
      </c>
      <c r="AI345" s="106"/>
      <c r="AJ345" s="107"/>
      <c r="AK345" s="107"/>
      <c r="AL345" s="107"/>
      <c r="AM345" s="99">
        <v>0</v>
      </c>
      <c r="AN345" s="100">
        <f t="shared" si="100"/>
        <v>0</v>
      </c>
      <c r="AO345" s="108">
        <f t="shared" si="101"/>
        <v>0</v>
      </c>
    </row>
    <row r="346" spans="1:50" ht="20.45" customHeight="1">
      <c r="A346" s="85" t="s">
        <v>1393</v>
      </c>
      <c r="B346" s="86">
        <v>324</v>
      </c>
      <c r="C346" s="87" t="s">
        <v>1394</v>
      </c>
      <c r="D346" s="88">
        <v>575099</v>
      </c>
      <c r="E346" s="88"/>
      <c r="F346" s="89" t="s">
        <v>1395</v>
      </c>
      <c r="G346" s="90" t="s">
        <v>1396</v>
      </c>
      <c r="H346" s="90"/>
      <c r="I346" s="91">
        <v>1</v>
      </c>
      <c r="J346" s="92" t="s">
        <v>88</v>
      </c>
      <c r="K346" s="93">
        <v>1</v>
      </c>
      <c r="L346" s="93" t="s">
        <v>73</v>
      </c>
      <c r="M346" s="94">
        <f>70*12/10</f>
        <v>84</v>
      </c>
      <c r="N346" s="94">
        <f>89/9*12</f>
        <v>118.66666666666667</v>
      </c>
      <c r="O346" s="94">
        <v>80</v>
      </c>
      <c r="P346" s="94">
        <v>85</v>
      </c>
      <c r="Q346" s="95">
        <v>85</v>
      </c>
      <c r="R346" s="96">
        <f>P346-Q346</f>
        <v>0</v>
      </c>
      <c r="S346" s="97">
        <v>20</v>
      </c>
      <c r="T346" s="98">
        <f t="shared" si="96"/>
        <v>0</v>
      </c>
      <c r="U346" s="99">
        <v>0</v>
      </c>
      <c r="V346" s="100">
        <f t="shared" si="94"/>
        <v>0</v>
      </c>
      <c r="W346" s="101"/>
      <c r="X346" s="102"/>
      <c r="Y346" s="103"/>
      <c r="Z346" s="103"/>
      <c r="AA346" s="99">
        <v>0</v>
      </c>
      <c r="AB346" s="100">
        <f t="shared" si="97"/>
        <v>0</v>
      </c>
      <c r="AC346" s="104"/>
      <c r="AD346" s="105"/>
      <c r="AE346" s="105"/>
      <c r="AF346" s="105"/>
      <c r="AG346" s="99">
        <v>0</v>
      </c>
      <c r="AH346" s="100">
        <f t="shared" si="99"/>
        <v>0</v>
      </c>
      <c r="AI346" s="106">
        <v>80</v>
      </c>
      <c r="AJ346" s="107" t="s">
        <v>74</v>
      </c>
      <c r="AK346" s="107">
        <v>18</v>
      </c>
      <c r="AL346" s="107">
        <f>AK346*AI346</f>
        <v>1440</v>
      </c>
      <c r="AM346" s="99">
        <v>0</v>
      </c>
      <c r="AN346" s="100">
        <f t="shared" si="100"/>
        <v>0</v>
      </c>
      <c r="AO346" s="108">
        <f t="shared" si="101"/>
        <v>0</v>
      </c>
    </row>
    <row r="347" spans="1:50" ht="20.45" customHeight="1">
      <c r="A347" s="85" t="s">
        <v>1409</v>
      </c>
      <c r="B347" s="86">
        <v>328</v>
      </c>
      <c r="C347" s="87" t="s">
        <v>1410</v>
      </c>
      <c r="D347" s="88">
        <v>779906</v>
      </c>
      <c r="E347" s="88"/>
      <c r="F347" s="89" t="s">
        <v>1411</v>
      </c>
      <c r="G347" s="90" t="s">
        <v>1412</v>
      </c>
      <c r="H347" s="90"/>
      <c r="I347" s="91">
        <v>1</v>
      </c>
      <c r="J347" s="92" t="s">
        <v>51</v>
      </c>
      <c r="K347" s="93">
        <v>1</v>
      </c>
      <c r="L347" s="93" t="s">
        <v>52</v>
      </c>
      <c r="M347" s="94">
        <f>1203/10*12</f>
        <v>1443.6</v>
      </c>
      <c r="N347" s="94">
        <f>963*9/12</f>
        <v>722.25</v>
      </c>
      <c r="O347" s="94">
        <v>1613.3333333333333</v>
      </c>
      <c r="P347" s="94">
        <v>1700</v>
      </c>
      <c r="Q347" s="95">
        <v>0</v>
      </c>
      <c r="R347" s="145">
        <v>1200</v>
      </c>
      <c r="S347" s="97">
        <v>29.11</v>
      </c>
      <c r="T347" s="98">
        <f t="shared" si="96"/>
        <v>34932</v>
      </c>
      <c r="U347" s="99">
        <v>200</v>
      </c>
      <c r="V347" s="100">
        <f t="shared" ref="V347:V378" si="104">U347*S347</f>
        <v>5822</v>
      </c>
      <c r="W347" s="101">
        <v>200</v>
      </c>
      <c r="X347" s="102" t="s">
        <v>53</v>
      </c>
      <c r="Y347" s="103">
        <v>23.5</v>
      </c>
      <c r="Z347" s="103">
        <f>Y347*W347</f>
        <v>4700</v>
      </c>
      <c r="AA347" s="99">
        <v>200</v>
      </c>
      <c r="AB347" s="100">
        <f t="shared" si="97"/>
        <v>5822</v>
      </c>
      <c r="AC347" s="104">
        <v>200</v>
      </c>
      <c r="AD347" s="105" t="s">
        <v>53</v>
      </c>
      <c r="AE347" s="105">
        <v>23.5</v>
      </c>
      <c r="AF347" s="105">
        <f>AE347*AC347</f>
        <v>4700</v>
      </c>
      <c r="AG347" s="99">
        <v>400</v>
      </c>
      <c r="AH347" s="100">
        <f t="shared" si="99"/>
        <v>11644</v>
      </c>
      <c r="AI347" s="106">
        <v>400</v>
      </c>
      <c r="AJ347" s="107" t="s">
        <v>53</v>
      </c>
      <c r="AK347" s="107">
        <v>23.5</v>
      </c>
      <c r="AL347" s="107">
        <f>AK347*AI347</f>
        <v>9400</v>
      </c>
      <c r="AM347" s="99">
        <v>400</v>
      </c>
      <c r="AN347" s="100">
        <f t="shared" si="100"/>
        <v>11644</v>
      </c>
      <c r="AO347" s="108">
        <f t="shared" si="101"/>
        <v>1200</v>
      </c>
    </row>
    <row r="348" spans="1:50" ht="20.45" customHeight="1">
      <c r="A348" s="85" t="s">
        <v>1413</v>
      </c>
      <c r="B348" s="86">
        <v>329</v>
      </c>
      <c r="C348" s="87" t="s">
        <v>1414</v>
      </c>
      <c r="D348" s="88">
        <v>641674</v>
      </c>
      <c r="E348" s="88"/>
      <c r="F348" s="89" t="s">
        <v>1415</v>
      </c>
      <c r="G348" s="109" t="s">
        <v>1416</v>
      </c>
      <c r="H348" s="109"/>
      <c r="I348" s="91">
        <v>1</v>
      </c>
      <c r="J348" s="92" t="s">
        <v>1417</v>
      </c>
      <c r="K348" s="93">
        <v>1</v>
      </c>
      <c r="L348" s="93" t="s">
        <v>52</v>
      </c>
      <c r="M348" s="94">
        <v>1</v>
      </c>
      <c r="N348" s="94">
        <v>2</v>
      </c>
      <c r="O348" s="94">
        <v>0</v>
      </c>
      <c r="P348" s="94">
        <v>4</v>
      </c>
      <c r="Q348" s="95">
        <v>2</v>
      </c>
      <c r="R348" s="96">
        <f>P348-Q348</f>
        <v>2</v>
      </c>
      <c r="S348" s="97">
        <v>50.29</v>
      </c>
      <c r="T348" s="98">
        <f t="shared" si="96"/>
        <v>100.58</v>
      </c>
      <c r="U348" s="99">
        <v>0</v>
      </c>
      <c r="V348" s="100">
        <f t="shared" si="104"/>
        <v>0</v>
      </c>
      <c r="W348" s="101"/>
      <c r="X348" s="102"/>
      <c r="Y348" s="103"/>
      <c r="Z348" s="103">
        <f>Y348*W348</f>
        <v>0</v>
      </c>
      <c r="AA348" s="99">
        <v>0</v>
      </c>
      <c r="AB348" s="100">
        <f t="shared" si="97"/>
        <v>0</v>
      </c>
      <c r="AC348" s="104"/>
      <c r="AD348" s="105"/>
      <c r="AE348" s="105"/>
      <c r="AF348" s="105"/>
      <c r="AG348" s="99">
        <v>2</v>
      </c>
      <c r="AH348" s="100">
        <f t="shared" si="99"/>
        <v>100.58</v>
      </c>
      <c r="AI348" s="106"/>
      <c r="AJ348" s="107"/>
      <c r="AK348" s="107"/>
      <c r="AL348" s="107"/>
      <c r="AM348" s="99">
        <v>0</v>
      </c>
      <c r="AN348" s="100">
        <f t="shared" si="100"/>
        <v>0</v>
      </c>
      <c r="AO348" s="108">
        <f t="shared" si="101"/>
        <v>2</v>
      </c>
    </row>
    <row r="349" spans="1:50" ht="20.45" customHeight="1">
      <c r="A349" s="169" t="s">
        <v>1418</v>
      </c>
      <c r="B349" s="86">
        <v>330</v>
      </c>
      <c r="C349" s="87">
        <v>648098</v>
      </c>
      <c r="D349" s="142">
        <v>648079</v>
      </c>
      <c r="E349" s="142"/>
      <c r="F349" s="117" t="s">
        <v>1419</v>
      </c>
      <c r="G349" s="90" t="s">
        <v>1420</v>
      </c>
      <c r="H349" s="90"/>
      <c r="I349" s="91">
        <v>1</v>
      </c>
      <c r="J349" s="92" t="s">
        <v>1219</v>
      </c>
      <c r="K349" s="93">
        <v>1</v>
      </c>
      <c r="L349" s="93" t="s">
        <v>267</v>
      </c>
      <c r="M349" s="94">
        <f>168/10*12</f>
        <v>201.60000000000002</v>
      </c>
      <c r="N349" s="94">
        <f>108/9*12</f>
        <v>144</v>
      </c>
      <c r="O349" s="94">
        <v>48</v>
      </c>
      <c r="P349" s="94">
        <v>60</v>
      </c>
      <c r="Q349" s="95">
        <v>60</v>
      </c>
      <c r="R349" s="112">
        <v>120</v>
      </c>
      <c r="S349" s="97">
        <v>16</v>
      </c>
      <c r="T349" s="98">
        <f t="shared" si="96"/>
        <v>1920</v>
      </c>
      <c r="U349" s="99">
        <v>120</v>
      </c>
      <c r="V349" s="100">
        <f t="shared" si="104"/>
        <v>1920</v>
      </c>
      <c r="W349" s="101">
        <v>120</v>
      </c>
      <c r="X349" s="102" t="s">
        <v>261</v>
      </c>
      <c r="Y349" s="103">
        <f>192/12</f>
        <v>16</v>
      </c>
      <c r="Z349" s="103">
        <f>Y349*W349</f>
        <v>1920</v>
      </c>
      <c r="AA349" s="99">
        <v>0</v>
      </c>
      <c r="AB349" s="100">
        <f t="shared" si="97"/>
        <v>0</v>
      </c>
      <c r="AC349" s="104"/>
      <c r="AD349" s="105"/>
      <c r="AE349" s="105"/>
      <c r="AF349" s="105"/>
      <c r="AG349" s="99">
        <v>0</v>
      </c>
      <c r="AH349" s="100">
        <f t="shared" si="99"/>
        <v>0</v>
      </c>
      <c r="AI349" s="106"/>
      <c r="AJ349" s="107"/>
      <c r="AK349" s="107"/>
      <c r="AL349" s="107"/>
      <c r="AM349" s="99">
        <v>0</v>
      </c>
      <c r="AN349" s="100">
        <f t="shared" si="100"/>
        <v>0</v>
      </c>
      <c r="AO349" s="108">
        <f t="shared" si="101"/>
        <v>120</v>
      </c>
    </row>
    <row r="350" spans="1:50" ht="20.45" customHeight="1">
      <c r="A350" s="85" t="s">
        <v>1421</v>
      </c>
      <c r="B350" s="86">
        <v>331</v>
      </c>
      <c r="C350" s="87" t="s">
        <v>1422</v>
      </c>
      <c r="D350" s="88">
        <v>762201</v>
      </c>
      <c r="E350" s="88"/>
      <c r="F350" s="89" t="s">
        <v>1423</v>
      </c>
      <c r="G350" s="90" t="s">
        <v>1424</v>
      </c>
      <c r="H350" s="90"/>
      <c r="I350" s="91">
        <v>1</v>
      </c>
      <c r="J350" s="92" t="s">
        <v>88</v>
      </c>
      <c r="K350" s="93">
        <v>1</v>
      </c>
      <c r="L350" s="93" t="s">
        <v>73</v>
      </c>
      <c r="M350" s="94">
        <v>8</v>
      </c>
      <c r="N350" s="94">
        <v>0</v>
      </c>
      <c r="O350" s="94">
        <v>0</v>
      </c>
      <c r="P350" s="94">
        <v>2</v>
      </c>
      <c r="Q350" s="95">
        <v>2</v>
      </c>
      <c r="R350" s="96">
        <f>P350-Q350</f>
        <v>0</v>
      </c>
      <c r="S350" s="97">
        <v>1050</v>
      </c>
      <c r="T350" s="98">
        <f t="shared" si="96"/>
        <v>0</v>
      </c>
      <c r="U350" s="99">
        <v>0</v>
      </c>
      <c r="V350" s="100">
        <f t="shared" si="104"/>
        <v>0</v>
      </c>
      <c r="W350" s="101"/>
      <c r="X350" s="102"/>
      <c r="Y350" s="103"/>
      <c r="Z350" s="103"/>
      <c r="AA350" s="99">
        <v>0</v>
      </c>
      <c r="AB350" s="100">
        <f t="shared" si="97"/>
        <v>0</v>
      </c>
      <c r="AC350" s="104"/>
      <c r="AD350" s="105"/>
      <c r="AE350" s="105"/>
      <c r="AF350" s="105"/>
      <c r="AG350" s="99">
        <v>0</v>
      </c>
      <c r="AH350" s="100">
        <f t="shared" si="99"/>
        <v>0</v>
      </c>
      <c r="AI350" s="106"/>
      <c r="AJ350" s="107"/>
      <c r="AK350" s="107"/>
      <c r="AL350" s="107"/>
      <c r="AM350" s="99">
        <v>0</v>
      </c>
      <c r="AN350" s="100">
        <f t="shared" si="100"/>
        <v>0</v>
      </c>
      <c r="AO350" s="108">
        <f t="shared" si="101"/>
        <v>0</v>
      </c>
    </row>
    <row r="351" spans="1:50" ht="20.45" customHeight="1">
      <c r="A351" s="85" t="s">
        <v>1425</v>
      </c>
      <c r="B351" s="86">
        <v>332</v>
      </c>
      <c r="C351" s="87" t="s">
        <v>1426</v>
      </c>
      <c r="D351" s="88">
        <v>775763</v>
      </c>
      <c r="E351" s="88"/>
      <c r="F351" s="89" t="s">
        <v>1427</v>
      </c>
      <c r="G351" s="109" t="s">
        <v>1428</v>
      </c>
      <c r="H351" s="109"/>
      <c r="I351" s="91">
        <v>1</v>
      </c>
      <c r="J351" s="92" t="s">
        <v>88</v>
      </c>
      <c r="K351" s="93">
        <v>1</v>
      </c>
      <c r="L351" s="93" t="s">
        <v>73</v>
      </c>
      <c r="M351" s="94">
        <v>3</v>
      </c>
      <c r="N351" s="94">
        <v>0</v>
      </c>
      <c r="O351" s="94">
        <v>2.6666666666666665</v>
      </c>
      <c r="P351" s="94">
        <v>20</v>
      </c>
      <c r="Q351" s="95">
        <v>20</v>
      </c>
      <c r="R351" s="96">
        <f>P351-Q351</f>
        <v>0</v>
      </c>
      <c r="S351" s="97">
        <v>1050</v>
      </c>
      <c r="T351" s="98">
        <f t="shared" si="96"/>
        <v>0</v>
      </c>
      <c r="U351" s="99">
        <v>0</v>
      </c>
      <c r="V351" s="100">
        <f t="shared" si="104"/>
        <v>0</v>
      </c>
      <c r="W351" s="101"/>
      <c r="X351" s="102"/>
      <c r="Y351" s="103"/>
      <c r="Z351" s="103"/>
      <c r="AA351" s="99">
        <v>0</v>
      </c>
      <c r="AB351" s="100">
        <f t="shared" si="97"/>
        <v>0</v>
      </c>
      <c r="AC351" s="104"/>
      <c r="AD351" s="105"/>
      <c r="AE351" s="105"/>
      <c r="AF351" s="105"/>
      <c r="AG351" s="99">
        <v>0</v>
      </c>
      <c r="AH351" s="100">
        <f t="shared" si="99"/>
        <v>0</v>
      </c>
      <c r="AI351" s="106"/>
      <c r="AJ351" s="107"/>
      <c r="AK351" s="107"/>
      <c r="AL351" s="107"/>
      <c r="AM351" s="99">
        <v>0</v>
      </c>
      <c r="AN351" s="100">
        <f t="shared" si="100"/>
        <v>0</v>
      </c>
      <c r="AO351" s="108">
        <f t="shared" si="101"/>
        <v>0</v>
      </c>
      <c r="AP351" s="199"/>
      <c r="AQ351" s="199"/>
      <c r="AR351" s="199"/>
      <c r="AS351" s="199"/>
      <c r="AT351" s="199"/>
      <c r="AU351" s="199"/>
      <c r="AV351" s="199"/>
      <c r="AW351" s="199"/>
      <c r="AX351" s="199"/>
    </row>
    <row r="352" spans="1:50" ht="20.45" customHeight="1">
      <c r="A352" s="85" t="s">
        <v>1429</v>
      </c>
      <c r="B352" s="86">
        <v>333</v>
      </c>
      <c r="C352" s="87" t="s">
        <v>1430</v>
      </c>
      <c r="D352" s="88">
        <v>798765</v>
      </c>
      <c r="E352" s="301"/>
      <c r="F352" s="303" t="s">
        <v>1431</v>
      </c>
      <c r="G352" s="109" t="s">
        <v>1432</v>
      </c>
      <c r="H352" s="109"/>
      <c r="I352" s="91">
        <v>1</v>
      </c>
      <c r="J352" s="92" t="s">
        <v>88</v>
      </c>
      <c r="K352" s="93">
        <v>1</v>
      </c>
      <c r="L352" s="93" t="s">
        <v>73</v>
      </c>
      <c r="M352" s="94">
        <v>5</v>
      </c>
      <c r="N352" s="94">
        <v>15</v>
      </c>
      <c r="O352" s="94">
        <v>0</v>
      </c>
      <c r="P352" s="94">
        <v>20</v>
      </c>
      <c r="Q352" s="95">
        <v>10</v>
      </c>
      <c r="R352" s="96">
        <f>P352-Q352</f>
        <v>10</v>
      </c>
      <c r="S352" s="97">
        <v>1050</v>
      </c>
      <c r="T352" s="98">
        <f t="shared" si="96"/>
        <v>10500</v>
      </c>
      <c r="U352" s="99">
        <v>0</v>
      </c>
      <c r="V352" s="100">
        <f t="shared" si="104"/>
        <v>0</v>
      </c>
      <c r="W352" s="101"/>
      <c r="X352" s="102"/>
      <c r="Y352" s="103"/>
      <c r="Z352" s="103"/>
      <c r="AA352" s="99">
        <v>0</v>
      </c>
      <c r="AB352" s="100">
        <f t="shared" si="97"/>
        <v>0</v>
      </c>
      <c r="AC352" s="104"/>
      <c r="AD352" s="105"/>
      <c r="AE352" s="105"/>
      <c r="AF352" s="105"/>
      <c r="AG352" s="99">
        <v>10</v>
      </c>
      <c r="AH352" s="100">
        <f t="shared" si="99"/>
        <v>10500</v>
      </c>
      <c r="AI352" s="106"/>
      <c r="AJ352" s="107"/>
      <c r="AK352" s="107"/>
      <c r="AL352" s="107"/>
      <c r="AM352" s="99">
        <v>0</v>
      </c>
      <c r="AN352" s="100">
        <f t="shared" si="100"/>
        <v>0</v>
      </c>
      <c r="AO352" s="108">
        <f t="shared" si="101"/>
        <v>10</v>
      </c>
    </row>
    <row r="353" spans="1:41" ht="20.45" customHeight="1">
      <c r="A353" s="85"/>
      <c r="B353" s="86">
        <v>334</v>
      </c>
      <c r="C353" s="87">
        <v>777564</v>
      </c>
      <c r="D353" s="88"/>
      <c r="E353" s="88"/>
      <c r="F353" s="117" t="s">
        <v>1433</v>
      </c>
      <c r="G353" s="109" t="s">
        <v>1434</v>
      </c>
      <c r="H353" s="109"/>
      <c r="I353" s="91">
        <v>1</v>
      </c>
      <c r="J353" s="92" t="s">
        <v>88</v>
      </c>
      <c r="K353" s="93">
        <v>1</v>
      </c>
      <c r="L353" s="93" t="s">
        <v>73</v>
      </c>
      <c r="M353" s="94">
        <v>0</v>
      </c>
      <c r="N353" s="94">
        <v>0</v>
      </c>
      <c r="O353" s="94">
        <v>0</v>
      </c>
      <c r="P353" s="94">
        <v>10</v>
      </c>
      <c r="Q353" s="95">
        <v>0</v>
      </c>
      <c r="R353" s="96">
        <f>P353-Q353</f>
        <v>10</v>
      </c>
      <c r="S353" s="97">
        <v>1050</v>
      </c>
      <c r="T353" s="98">
        <f t="shared" si="96"/>
        <v>10500</v>
      </c>
      <c r="U353" s="99">
        <v>0</v>
      </c>
      <c r="V353" s="100">
        <f t="shared" si="104"/>
        <v>0</v>
      </c>
      <c r="W353" s="101"/>
      <c r="X353" s="102"/>
      <c r="Y353" s="103"/>
      <c r="Z353" s="103"/>
      <c r="AA353" s="99">
        <v>0</v>
      </c>
      <c r="AB353" s="100">
        <f t="shared" si="97"/>
        <v>0</v>
      </c>
      <c r="AC353" s="104"/>
      <c r="AD353" s="105"/>
      <c r="AE353" s="105"/>
      <c r="AF353" s="105"/>
      <c r="AG353" s="99">
        <v>10</v>
      </c>
      <c r="AH353" s="100">
        <f t="shared" si="99"/>
        <v>10500</v>
      </c>
      <c r="AI353" s="106"/>
      <c r="AJ353" s="107"/>
      <c r="AK353" s="107"/>
      <c r="AL353" s="107"/>
      <c r="AM353" s="99">
        <v>0</v>
      </c>
      <c r="AN353" s="100">
        <f t="shared" si="100"/>
        <v>0</v>
      </c>
      <c r="AO353" s="108">
        <f t="shared" si="101"/>
        <v>10</v>
      </c>
    </row>
    <row r="354" spans="1:41" ht="20.45" customHeight="1">
      <c r="A354" s="200"/>
      <c r="B354" s="91"/>
      <c r="C354" s="201"/>
      <c r="D354" s="202"/>
      <c r="E354" s="202"/>
      <c r="F354" s="212"/>
      <c r="G354" s="206" t="s">
        <v>1435</v>
      </c>
      <c r="H354" s="109"/>
      <c r="I354" s="91"/>
      <c r="J354" s="92"/>
      <c r="K354" s="93"/>
      <c r="L354" s="93"/>
      <c r="M354" s="94"/>
      <c r="N354" s="94"/>
      <c r="O354" s="94"/>
      <c r="P354" s="94"/>
      <c r="Q354" s="95"/>
      <c r="R354" s="96"/>
      <c r="S354" s="97"/>
      <c r="T354" s="159"/>
      <c r="U354" s="99"/>
      <c r="V354" s="100"/>
      <c r="W354" s="101"/>
      <c r="X354" s="102"/>
      <c r="Y354" s="103"/>
      <c r="Z354" s="103"/>
      <c r="AA354" s="99"/>
      <c r="AB354" s="100"/>
      <c r="AC354" s="104"/>
      <c r="AD354" s="105"/>
      <c r="AE354" s="105"/>
      <c r="AF354" s="105"/>
      <c r="AG354" s="99"/>
      <c r="AH354" s="100"/>
      <c r="AI354" s="106"/>
      <c r="AJ354" s="107"/>
      <c r="AK354" s="107"/>
      <c r="AL354" s="107"/>
      <c r="AM354" s="99"/>
      <c r="AN354" s="100"/>
      <c r="AO354" s="108"/>
    </row>
    <row r="355" spans="1:41" ht="20.45" customHeight="1">
      <c r="A355" s="85" t="s">
        <v>1436</v>
      </c>
      <c r="B355" s="86">
        <v>335</v>
      </c>
      <c r="C355" s="87">
        <v>693733</v>
      </c>
      <c r="D355" s="88">
        <v>655133</v>
      </c>
      <c r="E355" s="88"/>
      <c r="F355" s="117" t="s">
        <v>1437</v>
      </c>
      <c r="G355" s="203" t="s">
        <v>1438</v>
      </c>
      <c r="H355" s="109"/>
      <c r="I355" s="91">
        <v>1</v>
      </c>
      <c r="J355" s="92" t="s">
        <v>1439</v>
      </c>
      <c r="K355" s="93">
        <v>1</v>
      </c>
      <c r="L355" s="93" t="s">
        <v>728</v>
      </c>
      <c r="M355" s="94">
        <v>0</v>
      </c>
      <c r="N355" s="94">
        <v>0</v>
      </c>
      <c r="O355" s="94">
        <v>0</v>
      </c>
      <c r="P355" s="94">
        <v>48</v>
      </c>
      <c r="Q355" s="95">
        <v>0</v>
      </c>
      <c r="R355" s="96">
        <f>P355-Q355</f>
        <v>48</v>
      </c>
      <c r="S355" s="97">
        <v>176.55</v>
      </c>
      <c r="T355" s="98">
        <f t="shared" ref="T355:T361" si="105">S355*R355</f>
        <v>8474.4000000000015</v>
      </c>
      <c r="U355" s="99">
        <v>0</v>
      </c>
      <c r="V355" s="100">
        <f t="shared" ref="V355:V361" si="106">U355*S355</f>
        <v>0</v>
      </c>
      <c r="W355" s="101"/>
      <c r="X355" s="102"/>
      <c r="Y355" s="103"/>
      <c r="Z355" s="103"/>
      <c r="AA355" s="99">
        <v>0</v>
      </c>
      <c r="AB355" s="100">
        <f t="shared" ref="AB355:AB361" si="107">AA355*S355</f>
        <v>0</v>
      </c>
      <c r="AC355" s="104"/>
      <c r="AD355" s="105"/>
      <c r="AE355" s="105"/>
      <c r="AF355" s="105"/>
      <c r="AG355" s="99">
        <v>48</v>
      </c>
      <c r="AH355" s="100">
        <f t="shared" ref="AH355:AH361" si="108">S355*AG355</f>
        <v>8474.4000000000015</v>
      </c>
      <c r="AI355" s="106"/>
      <c r="AJ355" s="107"/>
      <c r="AK355" s="107"/>
      <c r="AL355" s="107"/>
      <c r="AM355" s="99">
        <v>0</v>
      </c>
      <c r="AN355" s="100">
        <f t="shared" ref="AN355:AN361" si="109">S355*AM355</f>
        <v>0</v>
      </c>
      <c r="AO355" s="108">
        <f t="shared" ref="AO355:AO361" si="110">U355+AA355+AG355+AM355</f>
        <v>48</v>
      </c>
    </row>
    <row r="356" spans="1:41" ht="20.45" customHeight="1">
      <c r="A356" s="85" t="s">
        <v>1440</v>
      </c>
      <c r="B356" s="86">
        <v>336</v>
      </c>
      <c r="C356" s="87">
        <v>256307</v>
      </c>
      <c r="D356" s="88">
        <v>256284</v>
      </c>
      <c r="E356" s="88"/>
      <c r="F356" s="117" t="s">
        <v>1441</v>
      </c>
      <c r="G356" s="109" t="s">
        <v>1442</v>
      </c>
      <c r="H356" s="109" t="s">
        <v>305</v>
      </c>
      <c r="I356" s="91">
        <v>1</v>
      </c>
      <c r="J356" s="92" t="s">
        <v>184</v>
      </c>
      <c r="K356" s="93">
        <v>6</v>
      </c>
      <c r="L356" s="93" t="s">
        <v>1160</v>
      </c>
      <c r="M356" s="94">
        <v>0</v>
      </c>
      <c r="N356" s="94">
        <v>0</v>
      </c>
      <c r="O356" s="94">
        <v>40</v>
      </c>
      <c r="P356" s="94">
        <v>100</v>
      </c>
      <c r="Q356" s="95">
        <v>0</v>
      </c>
      <c r="R356" s="96">
        <v>50</v>
      </c>
      <c r="S356" s="97">
        <v>59</v>
      </c>
      <c r="T356" s="98">
        <f t="shared" si="105"/>
        <v>2950</v>
      </c>
      <c r="U356" s="99">
        <v>0</v>
      </c>
      <c r="V356" s="100">
        <f t="shared" si="106"/>
        <v>0</v>
      </c>
      <c r="W356" s="101"/>
      <c r="X356" s="102"/>
      <c r="Y356" s="103"/>
      <c r="Z356" s="103"/>
      <c r="AA356" s="99">
        <v>0</v>
      </c>
      <c r="AB356" s="100">
        <f t="shared" si="107"/>
        <v>0</v>
      </c>
      <c r="AC356" s="104"/>
      <c r="AD356" s="105"/>
      <c r="AE356" s="105"/>
      <c r="AF356" s="105"/>
      <c r="AG356" s="99">
        <v>50</v>
      </c>
      <c r="AH356" s="100">
        <f t="shared" si="108"/>
        <v>2950</v>
      </c>
      <c r="AI356" s="106"/>
      <c r="AJ356" s="107"/>
      <c r="AK356" s="107"/>
      <c r="AL356" s="107"/>
      <c r="AM356" s="99">
        <v>0</v>
      </c>
      <c r="AN356" s="100">
        <f t="shared" si="109"/>
        <v>0</v>
      </c>
      <c r="AO356" s="108">
        <f t="shared" si="110"/>
        <v>50</v>
      </c>
    </row>
    <row r="357" spans="1:41" ht="20.45" customHeight="1">
      <c r="A357" s="85" t="s">
        <v>1443</v>
      </c>
      <c r="B357" s="86">
        <v>337</v>
      </c>
      <c r="C357" s="87">
        <v>383898</v>
      </c>
      <c r="D357" s="88">
        <v>248488</v>
      </c>
      <c r="E357" s="88"/>
      <c r="F357" s="117" t="s">
        <v>1444</v>
      </c>
      <c r="G357" s="109" t="s">
        <v>1445</v>
      </c>
      <c r="H357" s="109"/>
      <c r="I357" s="91">
        <v>1</v>
      </c>
      <c r="J357" s="92" t="s">
        <v>1446</v>
      </c>
      <c r="K357" s="93">
        <v>1000</v>
      </c>
      <c r="L357" s="93" t="s">
        <v>477</v>
      </c>
      <c r="M357" s="116">
        <v>0</v>
      </c>
      <c r="N357" s="116">
        <v>1</v>
      </c>
      <c r="O357" s="116">
        <v>8</v>
      </c>
      <c r="P357" s="94">
        <v>40</v>
      </c>
      <c r="Q357" s="95">
        <v>0</v>
      </c>
      <c r="R357" s="145">
        <v>30</v>
      </c>
      <c r="S357" s="131">
        <v>630</v>
      </c>
      <c r="T357" s="98">
        <f t="shared" si="105"/>
        <v>18900</v>
      </c>
      <c r="U357" s="99">
        <v>10</v>
      </c>
      <c r="V357" s="100">
        <f t="shared" si="106"/>
        <v>6300</v>
      </c>
      <c r="W357" s="101">
        <v>10</v>
      </c>
      <c r="X357" s="102" t="s">
        <v>122</v>
      </c>
      <c r="Y357" s="103">
        <f>285*2</f>
        <v>570</v>
      </c>
      <c r="Z357" s="103">
        <f>Y357*W357</f>
        <v>5700</v>
      </c>
      <c r="AA357" s="99">
        <v>0</v>
      </c>
      <c r="AB357" s="100">
        <f t="shared" si="107"/>
        <v>0</v>
      </c>
      <c r="AC357" s="104"/>
      <c r="AD357" s="105"/>
      <c r="AE357" s="105"/>
      <c r="AF357" s="105"/>
      <c r="AG357" s="99">
        <v>10</v>
      </c>
      <c r="AH357" s="100">
        <f t="shared" si="108"/>
        <v>6300</v>
      </c>
      <c r="AI357" s="106"/>
      <c r="AJ357" s="107"/>
      <c r="AK357" s="107"/>
      <c r="AL357" s="107"/>
      <c r="AM357" s="99">
        <v>10</v>
      </c>
      <c r="AN357" s="100">
        <f t="shared" si="109"/>
        <v>6300</v>
      </c>
      <c r="AO357" s="108">
        <f t="shared" si="110"/>
        <v>30</v>
      </c>
    </row>
    <row r="358" spans="1:41" ht="20.45" customHeight="1">
      <c r="A358" s="85" t="s">
        <v>1456</v>
      </c>
      <c r="B358" s="86">
        <v>340</v>
      </c>
      <c r="C358" s="87">
        <v>553389</v>
      </c>
      <c r="D358" s="88">
        <v>981632</v>
      </c>
      <c r="E358" s="88"/>
      <c r="F358" s="117" t="s">
        <v>1457</v>
      </c>
      <c r="G358" s="109" t="s">
        <v>1458</v>
      </c>
      <c r="H358" s="109"/>
      <c r="I358" s="91">
        <v>1</v>
      </c>
      <c r="J358" s="92" t="s">
        <v>1439</v>
      </c>
      <c r="K358" s="93">
        <v>1</v>
      </c>
      <c r="L358" s="93" t="s">
        <v>728</v>
      </c>
      <c r="M358" s="116">
        <v>0</v>
      </c>
      <c r="N358" s="116">
        <f>173/9*12</f>
        <v>230.66666666666666</v>
      </c>
      <c r="O358" s="116">
        <v>256.8</v>
      </c>
      <c r="P358" s="94">
        <v>336</v>
      </c>
      <c r="Q358" s="95">
        <v>36</v>
      </c>
      <c r="R358" s="145">
        <v>180</v>
      </c>
      <c r="S358" s="110">
        <v>30</v>
      </c>
      <c r="T358" s="98">
        <f t="shared" si="105"/>
        <v>5400</v>
      </c>
      <c r="U358" s="99">
        <v>0</v>
      </c>
      <c r="V358" s="100">
        <f t="shared" si="106"/>
        <v>0</v>
      </c>
      <c r="W358" s="101"/>
      <c r="X358" s="102"/>
      <c r="Y358" s="103"/>
      <c r="Z358" s="103"/>
      <c r="AA358" s="99">
        <v>80</v>
      </c>
      <c r="AB358" s="100">
        <f t="shared" si="107"/>
        <v>2400</v>
      </c>
      <c r="AC358" s="104">
        <f>30+50</f>
        <v>80</v>
      </c>
      <c r="AD358" s="105" t="s">
        <v>363</v>
      </c>
      <c r="AE358" s="105">
        <v>21.8</v>
      </c>
      <c r="AF358" s="105">
        <f>AE358*AC358</f>
        <v>1744</v>
      </c>
      <c r="AG358" s="99">
        <v>100</v>
      </c>
      <c r="AH358" s="100">
        <f t="shared" si="108"/>
        <v>3000</v>
      </c>
      <c r="AI358" s="106">
        <v>100</v>
      </c>
      <c r="AJ358" s="107" t="s">
        <v>363</v>
      </c>
      <c r="AK358" s="107">
        <v>21.8</v>
      </c>
      <c r="AL358" s="107">
        <f>AK358*AI358</f>
        <v>2180</v>
      </c>
      <c r="AM358" s="99">
        <v>0</v>
      </c>
      <c r="AN358" s="100">
        <f t="shared" si="109"/>
        <v>0</v>
      </c>
      <c r="AO358" s="108">
        <f t="shared" si="110"/>
        <v>180</v>
      </c>
    </row>
    <row r="359" spans="1:41" ht="20.45" customHeight="1">
      <c r="A359" s="85" t="s">
        <v>1459</v>
      </c>
      <c r="B359" s="86">
        <v>341</v>
      </c>
      <c r="C359" s="87">
        <v>554953</v>
      </c>
      <c r="D359" s="88">
        <v>554930</v>
      </c>
      <c r="E359" s="88"/>
      <c r="F359" s="117" t="s">
        <v>1460</v>
      </c>
      <c r="G359" s="109" t="s">
        <v>1461</v>
      </c>
      <c r="H359" s="109"/>
      <c r="I359" s="91">
        <v>1</v>
      </c>
      <c r="J359" s="92" t="s">
        <v>1439</v>
      </c>
      <c r="K359" s="93">
        <v>1</v>
      </c>
      <c r="L359" s="93" t="s">
        <v>990</v>
      </c>
      <c r="M359" s="116">
        <v>0</v>
      </c>
      <c r="N359" s="116">
        <v>50</v>
      </c>
      <c r="O359" s="116">
        <v>0</v>
      </c>
      <c r="P359" s="94">
        <v>140</v>
      </c>
      <c r="Q359" s="95">
        <v>40</v>
      </c>
      <c r="R359" s="96">
        <f>P359-Q359</f>
        <v>100</v>
      </c>
      <c r="S359" s="97">
        <v>27.24</v>
      </c>
      <c r="T359" s="98">
        <f t="shared" si="105"/>
        <v>2724</v>
      </c>
      <c r="U359" s="99">
        <v>0</v>
      </c>
      <c r="V359" s="100">
        <f t="shared" si="106"/>
        <v>0</v>
      </c>
      <c r="W359" s="101"/>
      <c r="X359" s="102"/>
      <c r="Y359" s="103"/>
      <c r="Z359" s="103"/>
      <c r="AA359" s="99">
        <v>0</v>
      </c>
      <c r="AB359" s="100">
        <f t="shared" si="107"/>
        <v>0</v>
      </c>
      <c r="AC359" s="104"/>
      <c r="AD359" s="105"/>
      <c r="AE359" s="105"/>
      <c r="AF359" s="105"/>
      <c r="AG359" s="99">
        <v>100</v>
      </c>
      <c r="AH359" s="100">
        <f t="shared" si="108"/>
        <v>2724</v>
      </c>
      <c r="AI359" s="106"/>
      <c r="AJ359" s="107"/>
      <c r="AK359" s="107"/>
      <c r="AL359" s="107"/>
      <c r="AM359" s="99"/>
      <c r="AN359" s="100">
        <f t="shared" si="109"/>
        <v>0</v>
      </c>
      <c r="AO359" s="108">
        <f t="shared" si="110"/>
        <v>100</v>
      </c>
    </row>
    <row r="360" spans="1:41" ht="20.45" customHeight="1">
      <c r="A360" s="85" t="s">
        <v>1462</v>
      </c>
      <c r="B360" s="86">
        <v>342</v>
      </c>
      <c r="C360" s="87">
        <v>107147</v>
      </c>
      <c r="D360" s="88">
        <v>843275</v>
      </c>
      <c r="E360" s="88"/>
      <c r="F360" s="117" t="s">
        <v>1463</v>
      </c>
      <c r="G360" s="203" t="s">
        <v>1464</v>
      </c>
      <c r="H360" s="109" t="s">
        <v>169</v>
      </c>
      <c r="I360" s="91">
        <v>1</v>
      </c>
      <c r="J360" s="92" t="s">
        <v>1439</v>
      </c>
      <c r="K360" s="93">
        <v>1</v>
      </c>
      <c r="L360" s="93" t="s">
        <v>1465</v>
      </c>
      <c r="M360" s="116">
        <v>0</v>
      </c>
      <c r="N360" s="116">
        <v>0</v>
      </c>
      <c r="O360" s="116">
        <v>0</v>
      </c>
      <c r="P360" s="94">
        <v>400</v>
      </c>
      <c r="Q360" s="95">
        <v>0</v>
      </c>
      <c r="R360" s="145">
        <v>200</v>
      </c>
      <c r="S360" s="97">
        <v>203.3</v>
      </c>
      <c r="T360" s="98">
        <f t="shared" si="105"/>
        <v>40660</v>
      </c>
      <c r="U360" s="99">
        <v>0</v>
      </c>
      <c r="V360" s="100">
        <f t="shared" si="106"/>
        <v>0</v>
      </c>
      <c r="W360" s="101"/>
      <c r="X360" s="102"/>
      <c r="Y360" s="103"/>
      <c r="Z360" s="103"/>
      <c r="AA360" s="99">
        <v>0</v>
      </c>
      <c r="AB360" s="100">
        <f t="shared" si="107"/>
        <v>0</v>
      </c>
      <c r="AC360" s="104"/>
      <c r="AD360" s="105"/>
      <c r="AE360" s="105"/>
      <c r="AF360" s="105"/>
      <c r="AG360" s="99">
        <v>100</v>
      </c>
      <c r="AH360" s="100">
        <f t="shared" si="108"/>
        <v>20330</v>
      </c>
      <c r="AI360" s="106"/>
      <c r="AJ360" s="107"/>
      <c r="AK360" s="107"/>
      <c r="AL360" s="107"/>
      <c r="AM360" s="99">
        <v>100</v>
      </c>
      <c r="AN360" s="100">
        <f t="shared" si="109"/>
        <v>20330</v>
      </c>
      <c r="AO360" s="108">
        <f t="shared" si="110"/>
        <v>200</v>
      </c>
    </row>
    <row r="361" spans="1:41" ht="20.45" customHeight="1">
      <c r="A361" s="85" t="s">
        <v>1466</v>
      </c>
      <c r="B361" s="86">
        <v>343</v>
      </c>
      <c r="C361" s="87">
        <v>1011665</v>
      </c>
      <c r="D361" s="88">
        <v>690867</v>
      </c>
      <c r="E361" s="88"/>
      <c r="F361" s="117" t="s">
        <v>1467</v>
      </c>
      <c r="G361" s="109" t="s">
        <v>1468</v>
      </c>
      <c r="H361" s="109"/>
      <c r="I361" s="91">
        <v>1</v>
      </c>
      <c r="J361" s="92" t="s">
        <v>184</v>
      </c>
      <c r="K361" s="93" t="s">
        <v>1469</v>
      </c>
      <c r="L361" s="93" t="s">
        <v>1160</v>
      </c>
      <c r="M361" s="116">
        <v>0</v>
      </c>
      <c r="N361" s="116">
        <v>0</v>
      </c>
      <c r="O361" s="116">
        <v>0</v>
      </c>
      <c r="P361" s="94">
        <v>26</v>
      </c>
      <c r="Q361" s="95">
        <f>180/30</f>
        <v>6</v>
      </c>
      <c r="R361" s="112">
        <v>80</v>
      </c>
      <c r="S361" s="131">
        <v>60</v>
      </c>
      <c r="T361" s="98">
        <f t="shared" si="105"/>
        <v>4800</v>
      </c>
      <c r="U361" s="99">
        <v>0</v>
      </c>
      <c r="V361" s="100">
        <f t="shared" si="106"/>
        <v>0</v>
      </c>
      <c r="W361" s="101"/>
      <c r="X361" s="102"/>
      <c r="Y361" s="103"/>
      <c r="Z361" s="103"/>
      <c r="AA361" s="99">
        <v>40</v>
      </c>
      <c r="AB361" s="100">
        <f t="shared" si="107"/>
        <v>2400</v>
      </c>
      <c r="AC361" s="104">
        <v>40</v>
      </c>
      <c r="AD361" s="105" t="s">
        <v>147</v>
      </c>
      <c r="AE361" s="105">
        <v>58</v>
      </c>
      <c r="AF361" s="105">
        <f>AE361*AC361</f>
        <v>2320</v>
      </c>
      <c r="AG361" s="99">
        <v>0</v>
      </c>
      <c r="AH361" s="100">
        <f t="shared" si="108"/>
        <v>0</v>
      </c>
      <c r="AI361" s="106"/>
      <c r="AJ361" s="107"/>
      <c r="AK361" s="107"/>
      <c r="AL361" s="107"/>
      <c r="AM361" s="99">
        <v>40</v>
      </c>
      <c r="AN361" s="100">
        <f t="shared" si="109"/>
        <v>2400</v>
      </c>
      <c r="AO361" s="108">
        <f t="shared" si="110"/>
        <v>80</v>
      </c>
    </row>
    <row r="362" spans="1:41" ht="20.45" customHeight="1">
      <c r="A362" s="85"/>
      <c r="B362" s="86"/>
      <c r="C362" s="87"/>
      <c r="D362" s="88"/>
      <c r="E362" s="88"/>
      <c r="F362" s="117"/>
      <c r="G362" s="203"/>
      <c r="H362" s="109"/>
      <c r="I362" s="91"/>
      <c r="J362" s="92"/>
      <c r="K362" s="93"/>
      <c r="L362" s="93"/>
      <c r="M362" s="116"/>
      <c r="N362" s="116"/>
      <c r="O362" s="116"/>
      <c r="P362" s="94"/>
      <c r="Q362" s="95"/>
      <c r="R362" s="96"/>
      <c r="S362" s="97"/>
      <c r="T362" s="159"/>
      <c r="U362" s="99"/>
      <c r="V362" s="100"/>
      <c r="W362" s="101"/>
      <c r="X362" s="102"/>
      <c r="Y362" s="103"/>
      <c r="Z362" s="204"/>
      <c r="AA362" s="99"/>
      <c r="AB362" s="100"/>
      <c r="AC362" s="104"/>
      <c r="AD362" s="105"/>
      <c r="AE362" s="105"/>
      <c r="AF362" s="105"/>
      <c r="AG362" s="99"/>
      <c r="AH362" s="100"/>
      <c r="AI362" s="106"/>
      <c r="AJ362" s="107"/>
      <c r="AK362" s="107"/>
      <c r="AL362" s="107"/>
      <c r="AM362" s="99"/>
      <c r="AN362" s="100"/>
      <c r="AO362" s="108"/>
    </row>
    <row r="363" spans="1:41" ht="20.45" customHeight="1">
      <c r="A363" s="200"/>
      <c r="B363" s="91"/>
      <c r="C363" s="201"/>
      <c r="D363" s="202"/>
      <c r="E363" s="202"/>
      <c r="F363" s="205"/>
      <c r="G363" s="203"/>
      <c r="H363" s="109"/>
      <c r="I363" s="91"/>
      <c r="J363" s="92"/>
      <c r="K363" s="93"/>
      <c r="L363" s="93"/>
      <c r="M363" s="116"/>
      <c r="N363" s="116"/>
      <c r="O363" s="116"/>
      <c r="P363" s="94"/>
      <c r="Q363" s="95"/>
      <c r="R363" s="96"/>
      <c r="S363" s="97"/>
      <c r="T363" s="159"/>
      <c r="U363" s="99"/>
      <c r="V363" s="100"/>
      <c r="W363" s="101"/>
      <c r="X363" s="102"/>
      <c r="Y363" s="103"/>
      <c r="Z363" s="103"/>
      <c r="AA363" s="99"/>
      <c r="AB363" s="100"/>
      <c r="AC363" s="104"/>
      <c r="AD363" s="105"/>
      <c r="AE363" s="105"/>
      <c r="AF363" s="105"/>
      <c r="AG363" s="99"/>
      <c r="AH363" s="100"/>
      <c r="AI363" s="106"/>
      <c r="AJ363" s="107"/>
      <c r="AK363" s="107"/>
      <c r="AL363" s="107"/>
      <c r="AM363" s="99"/>
      <c r="AN363" s="100"/>
      <c r="AO363" s="108">
        <f t="shared" ref="AO363:AO377" si="111">U363+AA363+AG363+AM363</f>
        <v>0</v>
      </c>
    </row>
    <row r="364" spans="1:41" ht="20.45" customHeight="1">
      <c r="A364" s="200"/>
      <c r="B364" s="91"/>
      <c r="C364" s="201"/>
      <c r="D364" s="202"/>
      <c r="E364" s="202"/>
      <c r="F364" s="205"/>
      <c r="G364" s="206" t="s">
        <v>1478</v>
      </c>
      <c r="H364" s="109"/>
      <c r="I364" s="91"/>
      <c r="J364" s="92"/>
      <c r="K364" s="93"/>
      <c r="L364" s="93"/>
      <c r="M364" s="116"/>
      <c r="N364" s="116"/>
      <c r="O364" s="116">
        <v>0</v>
      </c>
      <c r="P364" s="94"/>
      <c r="Q364" s="95"/>
      <c r="R364" s="96"/>
      <c r="S364" s="97"/>
      <c r="T364" s="159"/>
      <c r="U364" s="99"/>
      <c r="V364" s="100"/>
      <c r="W364" s="101"/>
      <c r="X364" s="102"/>
      <c r="Y364" s="103"/>
      <c r="Z364" s="103"/>
      <c r="AA364" s="99"/>
      <c r="AB364" s="100"/>
      <c r="AC364" s="104"/>
      <c r="AD364" s="105"/>
      <c r="AE364" s="105"/>
      <c r="AF364" s="105"/>
      <c r="AG364" s="99"/>
      <c r="AH364" s="100"/>
      <c r="AI364" s="106"/>
      <c r="AJ364" s="107"/>
      <c r="AK364" s="107"/>
      <c r="AL364" s="107"/>
      <c r="AM364" s="99"/>
      <c r="AN364" s="100"/>
      <c r="AO364" s="108">
        <f t="shared" si="111"/>
        <v>0</v>
      </c>
    </row>
    <row r="365" spans="1:41" ht="20.45" customHeight="1">
      <c r="A365" s="85" t="s">
        <v>1483</v>
      </c>
      <c r="B365" s="86">
        <v>347</v>
      </c>
      <c r="C365" s="87">
        <v>666490</v>
      </c>
      <c r="D365" s="88">
        <v>666474</v>
      </c>
      <c r="E365" s="88"/>
      <c r="F365" s="128" t="s">
        <v>1484</v>
      </c>
      <c r="G365" s="109" t="s">
        <v>1485</v>
      </c>
      <c r="H365" s="109"/>
      <c r="I365" s="91">
        <v>1</v>
      </c>
      <c r="J365" s="92" t="s">
        <v>83</v>
      </c>
      <c r="K365" s="93">
        <v>100</v>
      </c>
      <c r="L365" s="93" t="s">
        <v>84</v>
      </c>
      <c r="M365" s="305">
        <v>0</v>
      </c>
      <c r="N365" s="305">
        <v>0</v>
      </c>
      <c r="O365" s="305">
        <v>0</v>
      </c>
      <c r="P365" s="94">
        <v>4</v>
      </c>
      <c r="Q365" s="208">
        <v>0</v>
      </c>
      <c r="R365" s="145">
        <v>2</v>
      </c>
      <c r="S365" s="210">
        <v>14980</v>
      </c>
      <c r="T365" s="98">
        <f t="shared" ref="T365:T376" si="112">S365*R365</f>
        <v>29960</v>
      </c>
      <c r="U365" s="209">
        <v>0</v>
      </c>
      <c r="V365" s="100">
        <f t="shared" ref="V365:V376" si="113">U365*S365</f>
        <v>0</v>
      </c>
      <c r="W365" s="101"/>
      <c r="X365" s="102"/>
      <c r="Y365" s="103"/>
      <c r="Z365" s="103"/>
      <c r="AA365" s="209">
        <v>0</v>
      </c>
      <c r="AB365" s="100">
        <f t="shared" ref="AB365:AB376" si="114">AA365*S365</f>
        <v>0</v>
      </c>
      <c r="AC365" s="104"/>
      <c r="AD365" s="105"/>
      <c r="AE365" s="105"/>
      <c r="AF365" s="105">
        <f>AE365*AC365</f>
        <v>0</v>
      </c>
      <c r="AG365" s="209">
        <v>1</v>
      </c>
      <c r="AH365" s="100">
        <f t="shared" ref="AH365:AH376" si="115">S365*AG365</f>
        <v>14980</v>
      </c>
      <c r="AI365" s="106"/>
      <c r="AJ365" s="107"/>
      <c r="AK365" s="107"/>
      <c r="AL365" s="107"/>
      <c r="AM365" s="209">
        <v>1</v>
      </c>
      <c r="AN365" s="100">
        <f t="shared" ref="AN365:AN377" si="116">S365*AM365</f>
        <v>14980</v>
      </c>
      <c r="AO365" s="108">
        <f t="shared" si="111"/>
        <v>2</v>
      </c>
    </row>
    <row r="366" spans="1:41" ht="20.45" customHeight="1">
      <c r="A366" s="85">
        <v>2150</v>
      </c>
      <c r="B366" s="86">
        <v>348</v>
      </c>
      <c r="C366" s="87">
        <v>143191</v>
      </c>
      <c r="D366" s="88">
        <v>201975</v>
      </c>
      <c r="E366" s="88"/>
      <c r="F366" s="128" t="s">
        <v>1486</v>
      </c>
      <c r="G366" s="109" t="s">
        <v>1487</v>
      </c>
      <c r="H366" s="109" t="s">
        <v>1482</v>
      </c>
      <c r="I366" s="91">
        <v>1</v>
      </c>
      <c r="J366" s="92" t="s">
        <v>184</v>
      </c>
      <c r="K366" s="93">
        <v>50</v>
      </c>
      <c r="L366" s="93" t="s">
        <v>185</v>
      </c>
      <c r="M366" s="305">
        <v>0</v>
      </c>
      <c r="N366" s="305">
        <v>0</v>
      </c>
      <c r="O366" s="305">
        <v>0</v>
      </c>
      <c r="P366" s="94">
        <v>40</v>
      </c>
      <c r="Q366" s="208">
        <v>0</v>
      </c>
      <c r="R366" s="145">
        <v>20</v>
      </c>
      <c r="S366" s="210">
        <v>710</v>
      </c>
      <c r="T366" s="98">
        <f t="shared" si="112"/>
        <v>14200</v>
      </c>
      <c r="U366" s="209">
        <v>0</v>
      </c>
      <c r="V366" s="100">
        <f t="shared" si="113"/>
        <v>0</v>
      </c>
      <c r="W366" s="101"/>
      <c r="X366" s="102"/>
      <c r="Y366" s="103"/>
      <c r="Z366" s="103"/>
      <c r="AA366" s="209">
        <v>0</v>
      </c>
      <c r="AB366" s="100">
        <f t="shared" si="114"/>
        <v>0</v>
      </c>
      <c r="AC366" s="104"/>
      <c r="AD366" s="105"/>
      <c r="AE366" s="105"/>
      <c r="AF366" s="105">
        <f>AE366*AC366</f>
        <v>0</v>
      </c>
      <c r="AG366" s="209">
        <v>10</v>
      </c>
      <c r="AH366" s="100">
        <f t="shared" si="115"/>
        <v>7100</v>
      </c>
      <c r="AI366" s="106"/>
      <c r="AJ366" s="107"/>
      <c r="AK366" s="107"/>
      <c r="AL366" s="107"/>
      <c r="AM366" s="209">
        <v>10</v>
      </c>
      <c r="AN366" s="100">
        <f t="shared" si="116"/>
        <v>7100</v>
      </c>
      <c r="AO366" s="108">
        <f t="shared" si="111"/>
        <v>20</v>
      </c>
    </row>
    <row r="367" spans="1:41" ht="20.45" customHeight="1">
      <c r="A367" s="85">
        <v>2025</v>
      </c>
      <c r="B367" s="86">
        <v>350</v>
      </c>
      <c r="C367" s="87">
        <v>947807</v>
      </c>
      <c r="D367" s="88">
        <v>206758</v>
      </c>
      <c r="E367" s="88"/>
      <c r="F367" s="128" t="s">
        <v>1490</v>
      </c>
      <c r="G367" s="109" t="s">
        <v>1491</v>
      </c>
      <c r="H367" s="109" t="s">
        <v>1482</v>
      </c>
      <c r="I367" s="91">
        <v>1</v>
      </c>
      <c r="J367" s="92" t="s">
        <v>184</v>
      </c>
      <c r="K367" s="93">
        <v>100</v>
      </c>
      <c r="L367" s="93" t="s">
        <v>185</v>
      </c>
      <c r="M367" s="305">
        <v>0</v>
      </c>
      <c r="N367" s="305">
        <v>0</v>
      </c>
      <c r="O367" s="305">
        <v>0</v>
      </c>
      <c r="P367" s="94">
        <v>40</v>
      </c>
      <c r="Q367" s="208">
        <v>0</v>
      </c>
      <c r="R367" s="145">
        <v>20</v>
      </c>
      <c r="S367" s="210">
        <v>1200</v>
      </c>
      <c r="T367" s="98">
        <f t="shared" si="112"/>
        <v>24000</v>
      </c>
      <c r="U367" s="209">
        <v>0</v>
      </c>
      <c r="V367" s="100">
        <f t="shared" si="113"/>
        <v>0</v>
      </c>
      <c r="W367" s="101"/>
      <c r="X367" s="102"/>
      <c r="Y367" s="103"/>
      <c r="Z367" s="103"/>
      <c r="AA367" s="209">
        <v>0</v>
      </c>
      <c r="AB367" s="100">
        <f t="shared" si="114"/>
        <v>0</v>
      </c>
      <c r="AC367" s="104"/>
      <c r="AD367" s="105"/>
      <c r="AE367" s="105"/>
      <c r="AF367" s="105"/>
      <c r="AG367" s="209">
        <v>10</v>
      </c>
      <c r="AH367" s="100">
        <f t="shared" si="115"/>
        <v>12000</v>
      </c>
      <c r="AI367" s="106"/>
      <c r="AJ367" s="107"/>
      <c r="AK367" s="107"/>
      <c r="AL367" s="107"/>
      <c r="AM367" s="209">
        <v>10</v>
      </c>
      <c r="AN367" s="100">
        <f t="shared" si="116"/>
        <v>12000</v>
      </c>
      <c r="AO367" s="108">
        <f t="shared" si="111"/>
        <v>20</v>
      </c>
    </row>
    <row r="368" spans="1:41" ht="20.45" customHeight="1">
      <c r="A368" s="85">
        <v>1549</v>
      </c>
      <c r="B368" s="86">
        <v>352</v>
      </c>
      <c r="C368" s="87">
        <v>780977</v>
      </c>
      <c r="D368" s="88">
        <v>780954</v>
      </c>
      <c r="E368" s="88"/>
      <c r="F368" s="128" t="s">
        <v>1494</v>
      </c>
      <c r="G368" s="109" t="s">
        <v>1495</v>
      </c>
      <c r="H368" s="109"/>
      <c r="I368" s="91">
        <v>1</v>
      </c>
      <c r="J368" s="92" t="s">
        <v>184</v>
      </c>
      <c r="K368" s="93">
        <v>100</v>
      </c>
      <c r="L368" s="93" t="s">
        <v>185</v>
      </c>
      <c r="M368" s="305">
        <v>0</v>
      </c>
      <c r="N368" s="305">
        <v>0</v>
      </c>
      <c r="O368" s="305">
        <v>0</v>
      </c>
      <c r="P368" s="94">
        <v>24</v>
      </c>
      <c r="Q368" s="208">
        <v>0</v>
      </c>
      <c r="R368" s="112">
        <v>30</v>
      </c>
      <c r="S368" s="120">
        <v>250</v>
      </c>
      <c r="T368" s="98">
        <f t="shared" si="112"/>
        <v>7500</v>
      </c>
      <c r="U368" s="209">
        <v>0</v>
      </c>
      <c r="V368" s="100">
        <f t="shared" si="113"/>
        <v>0</v>
      </c>
      <c r="W368" s="101"/>
      <c r="X368" s="102"/>
      <c r="Y368" s="103"/>
      <c r="Z368" s="103"/>
      <c r="AA368" s="209">
        <v>15</v>
      </c>
      <c r="AB368" s="100">
        <f t="shared" si="114"/>
        <v>3750</v>
      </c>
      <c r="AC368" s="104">
        <v>15</v>
      </c>
      <c r="AD368" s="105" t="s">
        <v>240</v>
      </c>
      <c r="AE368" s="105">
        <f>1177/5</f>
        <v>235.4</v>
      </c>
      <c r="AF368" s="105">
        <f t="shared" ref="AF368:AF374" si="117">AE368*AC368</f>
        <v>3531</v>
      </c>
      <c r="AG368" s="209">
        <v>0</v>
      </c>
      <c r="AH368" s="100">
        <f t="shared" si="115"/>
        <v>0</v>
      </c>
      <c r="AI368" s="106"/>
      <c r="AJ368" s="107"/>
      <c r="AK368" s="107"/>
      <c r="AL368" s="107"/>
      <c r="AM368" s="209">
        <v>15</v>
      </c>
      <c r="AN368" s="100">
        <f t="shared" si="116"/>
        <v>3750</v>
      </c>
      <c r="AO368" s="108">
        <f t="shared" si="111"/>
        <v>30</v>
      </c>
    </row>
    <row r="369" spans="1:41" ht="20.45" customHeight="1">
      <c r="A369" s="85" t="s">
        <v>1496</v>
      </c>
      <c r="B369" s="86">
        <v>353</v>
      </c>
      <c r="C369" s="87">
        <v>818787</v>
      </c>
      <c r="D369" s="88">
        <v>816992</v>
      </c>
      <c r="E369" s="88"/>
      <c r="F369" s="117" t="s">
        <v>1497</v>
      </c>
      <c r="G369" s="109" t="s">
        <v>1498</v>
      </c>
      <c r="H369" s="109"/>
      <c r="I369" s="91">
        <v>1</v>
      </c>
      <c r="J369" s="91" t="s">
        <v>88</v>
      </c>
      <c r="K369" s="91">
        <v>1</v>
      </c>
      <c r="L369" s="93" t="s">
        <v>73</v>
      </c>
      <c r="M369" s="211">
        <v>0</v>
      </c>
      <c r="N369" s="211">
        <v>0</v>
      </c>
      <c r="O369" s="211">
        <v>624</v>
      </c>
      <c r="P369" s="94">
        <v>800</v>
      </c>
      <c r="Q369" s="95">
        <v>0</v>
      </c>
      <c r="R369" s="145">
        <v>600</v>
      </c>
      <c r="S369" s="97">
        <v>47</v>
      </c>
      <c r="T369" s="98">
        <f t="shared" si="112"/>
        <v>28200</v>
      </c>
      <c r="U369" s="99">
        <v>0</v>
      </c>
      <c r="V369" s="100">
        <f t="shared" si="113"/>
        <v>0</v>
      </c>
      <c r="W369" s="101"/>
      <c r="X369" s="102"/>
      <c r="Y369" s="103"/>
      <c r="Z369" s="103"/>
      <c r="AA369" s="99">
        <v>200</v>
      </c>
      <c r="AB369" s="100">
        <f t="shared" si="114"/>
        <v>9400</v>
      </c>
      <c r="AC369" s="104">
        <v>200</v>
      </c>
      <c r="AD369" s="105" t="s">
        <v>1499</v>
      </c>
      <c r="AE369" s="105">
        <v>40</v>
      </c>
      <c r="AF369" s="105">
        <f t="shared" si="117"/>
        <v>8000</v>
      </c>
      <c r="AG369" s="99">
        <v>200</v>
      </c>
      <c r="AH369" s="100">
        <f t="shared" si="115"/>
        <v>9400</v>
      </c>
      <c r="AI369" s="106"/>
      <c r="AJ369" s="107"/>
      <c r="AK369" s="107"/>
      <c r="AL369" s="107"/>
      <c r="AM369" s="99">
        <v>200</v>
      </c>
      <c r="AN369" s="100">
        <f t="shared" si="116"/>
        <v>9400</v>
      </c>
      <c r="AO369" s="108">
        <f t="shared" si="111"/>
        <v>600</v>
      </c>
    </row>
    <row r="370" spans="1:41" ht="20.45" customHeight="1">
      <c r="A370" s="85" t="s">
        <v>1500</v>
      </c>
      <c r="B370" s="86">
        <v>354</v>
      </c>
      <c r="C370" s="87">
        <v>1294566</v>
      </c>
      <c r="D370" s="88">
        <v>958682</v>
      </c>
      <c r="E370" s="88"/>
      <c r="F370" s="117" t="s">
        <v>1501</v>
      </c>
      <c r="G370" s="109" t="s">
        <v>1502</v>
      </c>
      <c r="H370" s="109"/>
      <c r="I370" s="91">
        <v>1</v>
      </c>
      <c r="J370" s="92" t="s">
        <v>83</v>
      </c>
      <c r="K370" s="93">
        <v>30</v>
      </c>
      <c r="L370" s="93" t="s">
        <v>84</v>
      </c>
      <c r="M370" s="211"/>
      <c r="N370" s="211"/>
      <c r="O370" s="211"/>
      <c r="P370" s="94"/>
      <c r="Q370" s="95"/>
      <c r="R370" s="112">
        <v>9</v>
      </c>
      <c r="S370" s="97">
        <v>775</v>
      </c>
      <c r="T370" s="98">
        <f t="shared" si="112"/>
        <v>6975</v>
      </c>
      <c r="U370" s="99">
        <v>1</v>
      </c>
      <c r="V370" s="100">
        <f t="shared" si="113"/>
        <v>775</v>
      </c>
      <c r="W370" s="101">
        <v>1</v>
      </c>
      <c r="X370" s="102" t="s">
        <v>1105</v>
      </c>
      <c r="Y370" s="103">
        <v>770.4</v>
      </c>
      <c r="Z370" s="103">
        <f>Y370*W370</f>
        <v>770.4</v>
      </c>
      <c r="AA370" s="99">
        <v>2</v>
      </c>
      <c r="AB370" s="100">
        <f t="shared" si="114"/>
        <v>1550</v>
      </c>
      <c r="AC370" s="104">
        <v>2</v>
      </c>
      <c r="AD370" s="105" t="s">
        <v>1105</v>
      </c>
      <c r="AE370" s="105">
        <f>1016.5/2</f>
        <v>508.25</v>
      </c>
      <c r="AF370" s="105">
        <f t="shared" si="117"/>
        <v>1016.5</v>
      </c>
      <c r="AG370" s="99">
        <v>3</v>
      </c>
      <c r="AH370" s="100">
        <f t="shared" si="115"/>
        <v>2325</v>
      </c>
      <c r="AI370" s="106"/>
      <c r="AJ370" s="107"/>
      <c r="AK370" s="107"/>
      <c r="AL370" s="107"/>
      <c r="AM370" s="99">
        <v>3</v>
      </c>
      <c r="AN370" s="100">
        <f t="shared" si="116"/>
        <v>2325</v>
      </c>
      <c r="AO370" s="108">
        <f t="shared" si="111"/>
        <v>9</v>
      </c>
    </row>
    <row r="371" spans="1:41" ht="20.45" customHeight="1">
      <c r="A371" s="85" t="s">
        <v>1513</v>
      </c>
      <c r="B371" s="86">
        <v>358</v>
      </c>
      <c r="C371" s="87">
        <v>568385</v>
      </c>
      <c r="D371" s="88">
        <v>944239</v>
      </c>
      <c r="E371" s="88"/>
      <c r="F371" s="117" t="s">
        <v>1514</v>
      </c>
      <c r="G371" s="109" t="s">
        <v>1515</v>
      </c>
      <c r="H371" s="109"/>
      <c r="I371" s="91">
        <v>1</v>
      </c>
      <c r="J371" s="92" t="s">
        <v>88</v>
      </c>
      <c r="K371" s="93">
        <v>1</v>
      </c>
      <c r="L371" s="93" t="s">
        <v>728</v>
      </c>
      <c r="M371" s="211"/>
      <c r="N371" s="211"/>
      <c r="O371" s="211"/>
      <c r="P371" s="94"/>
      <c r="Q371" s="95"/>
      <c r="R371" s="112">
        <v>20</v>
      </c>
      <c r="S371" s="97">
        <v>89</v>
      </c>
      <c r="T371" s="98">
        <f t="shared" si="112"/>
        <v>1780</v>
      </c>
      <c r="U371" s="99">
        <v>20</v>
      </c>
      <c r="V371" s="100">
        <f t="shared" si="113"/>
        <v>1780</v>
      </c>
      <c r="W371" s="101">
        <v>20</v>
      </c>
      <c r="X371" s="102" t="s">
        <v>1105</v>
      </c>
      <c r="Y371" s="103">
        <f>1740/20</f>
        <v>87</v>
      </c>
      <c r="Z371" s="103">
        <f>Y371*W371</f>
        <v>1740</v>
      </c>
      <c r="AA371" s="99">
        <v>0</v>
      </c>
      <c r="AB371" s="100">
        <f t="shared" si="114"/>
        <v>0</v>
      </c>
      <c r="AC371" s="104"/>
      <c r="AD371" s="105"/>
      <c r="AE371" s="105"/>
      <c r="AF371" s="105">
        <f t="shared" si="117"/>
        <v>0</v>
      </c>
      <c r="AG371" s="99">
        <v>0</v>
      </c>
      <c r="AH371" s="100">
        <f t="shared" si="115"/>
        <v>0</v>
      </c>
      <c r="AI371" s="106"/>
      <c r="AJ371" s="107"/>
      <c r="AK371" s="107"/>
      <c r="AL371" s="107"/>
      <c r="AM371" s="99">
        <v>0</v>
      </c>
      <c r="AN371" s="100">
        <f t="shared" si="116"/>
        <v>0</v>
      </c>
      <c r="AO371" s="108">
        <f t="shared" si="111"/>
        <v>20</v>
      </c>
    </row>
    <row r="372" spans="1:41" ht="20.45" customHeight="1">
      <c r="A372" s="85" t="s">
        <v>1519</v>
      </c>
      <c r="B372" s="86">
        <v>360</v>
      </c>
      <c r="C372" s="87">
        <v>902723</v>
      </c>
      <c r="D372" s="88">
        <v>923176</v>
      </c>
      <c r="E372" s="88"/>
      <c r="F372" s="117" t="s">
        <v>141</v>
      </c>
      <c r="G372" s="109" t="s">
        <v>1520</v>
      </c>
      <c r="H372" s="109"/>
      <c r="I372" s="91">
        <v>1</v>
      </c>
      <c r="J372" s="92" t="s">
        <v>195</v>
      </c>
      <c r="K372" s="93">
        <v>1</v>
      </c>
      <c r="L372" s="93" t="s">
        <v>52</v>
      </c>
      <c r="M372" s="211"/>
      <c r="N372" s="211"/>
      <c r="O372" s="211"/>
      <c r="P372" s="94"/>
      <c r="Q372" s="95"/>
      <c r="R372" s="112">
        <v>90</v>
      </c>
      <c r="S372" s="97">
        <v>22.37</v>
      </c>
      <c r="T372" s="98">
        <f t="shared" si="112"/>
        <v>2013.3000000000002</v>
      </c>
      <c r="U372" s="99">
        <v>0</v>
      </c>
      <c r="V372" s="100">
        <f t="shared" si="113"/>
        <v>0</v>
      </c>
      <c r="W372" s="101"/>
      <c r="X372" s="102" t="s">
        <v>1105</v>
      </c>
      <c r="Y372" s="103">
        <v>22.37</v>
      </c>
      <c r="Z372" s="103">
        <f>Y372*W372</f>
        <v>0</v>
      </c>
      <c r="AA372" s="99">
        <v>30</v>
      </c>
      <c r="AB372" s="100">
        <f t="shared" si="114"/>
        <v>671.1</v>
      </c>
      <c r="AC372" s="104">
        <v>30</v>
      </c>
      <c r="AD372" s="105" t="s">
        <v>1105</v>
      </c>
      <c r="AE372" s="105">
        <v>22.37</v>
      </c>
      <c r="AF372" s="105">
        <f t="shared" si="117"/>
        <v>671.1</v>
      </c>
      <c r="AG372" s="99">
        <v>30</v>
      </c>
      <c r="AH372" s="100">
        <f t="shared" si="115"/>
        <v>671.1</v>
      </c>
      <c r="AI372" s="106"/>
      <c r="AJ372" s="107"/>
      <c r="AK372" s="107"/>
      <c r="AL372" s="107"/>
      <c r="AM372" s="99">
        <v>30</v>
      </c>
      <c r="AN372" s="100">
        <f t="shared" si="116"/>
        <v>671.1</v>
      </c>
      <c r="AO372" s="108">
        <f t="shared" si="111"/>
        <v>90</v>
      </c>
    </row>
    <row r="373" spans="1:41" ht="20.45" customHeight="1">
      <c r="A373" s="85" t="s">
        <v>1521</v>
      </c>
      <c r="B373" s="86">
        <v>361</v>
      </c>
      <c r="C373" s="87">
        <v>962139</v>
      </c>
      <c r="D373" s="88">
        <v>835928</v>
      </c>
      <c r="E373" s="88"/>
      <c r="F373" s="117" t="s">
        <v>1522</v>
      </c>
      <c r="G373" s="109" t="s">
        <v>1523</v>
      </c>
      <c r="H373" s="109"/>
      <c r="I373" s="91">
        <v>1</v>
      </c>
      <c r="J373" s="92" t="s">
        <v>88</v>
      </c>
      <c r="K373" s="93">
        <v>1</v>
      </c>
      <c r="L373" s="93" t="s">
        <v>728</v>
      </c>
      <c r="M373" s="211"/>
      <c r="N373" s="211"/>
      <c r="O373" s="211"/>
      <c r="P373" s="94"/>
      <c r="Q373" s="95"/>
      <c r="R373" s="112">
        <v>0</v>
      </c>
      <c r="S373" s="97">
        <v>130</v>
      </c>
      <c r="T373" s="98">
        <f t="shared" si="112"/>
        <v>0</v>
      </c>
      <c r="U373" s="99">
        <v>0</v>
      </c>
      <c r="V373" s="100">
        <f t="shared" si="113"/>
        <v>0</v>
      </c>
      <c r="W373" s="101"/>
      <c r="X373" s="102" t="s">
        <v>1105</v>
      </c>
      <c r="Y373" s="103"/>
      <c r="Z373" s="103"/>
      <c r="AA373" s="99">
        <v>0</v>
      </c>
      <c r="AB373" s="100">
        <f t="shared" si="114"/>
        <v>0</v>
      </c>
      <c r="AC373" s="104"/>
      <c r="AD373" s="105"/>
      <c r="AE373" s="105"/>
      <c r="AF373" s="105">
        <f t="shared" si="117"/>
        <v>0</v>
      </c>
      <c r="AG373" s="99">
        <v>0</v>
      </c>
      <c r="AH373" s="100">
        <f t="shared" si="115"/>
        <v>0</v>
      </c>
      <c r="AI373" s="106"/>
      <c r="AJ373" s="107"/>
      <c r="AK373" s="107"/>
      <c r="AL373" s="107"/>
      <c r="AM373" s="99">
        <v>0</v>
      </c>
      <c r="AN373" s="100">
        <f t="shared" si="116"/>
        <v>0</v>
      </c>
      <c r="AO373" s="108">
        <f t="shared" si="111"/>
        <v>0</v>
      </c>
    </row>
    <row r="374" spans="1:41" ht="20.45" customHeight="1">
      <c r="A374" s="85" t="s">
        <v>1524</v>
      </c>
      <c r="B374" s="86">
        <v>362</v>
      </c>
      <c r="C374" s="87">
        <v>545103</v>
      </c>
      <c r="D374" s="88">
        <v>545086</v>
      </c>
      <c r="E374" s="88"/>
      <c r="F374" s="117" t="s">
        <v>1525</v>
      </c>
      <c r="G374" s="109" t="s">
        <v>1526</v>
      </c>
      <c r="H374" s="109"/>
      <c r="I374" s="91">
        <v>1</v>
      </c>
      <c r="J374" s="92" t="s">
        <v>88</v>
      </c>
      <c r="K374" s="93">
        <v>1</v>
      </c>
      <c r="L374" s="93" t="s">
        <v>728</v>
      </c>
      <c r="M374" s="94"/>
      <c r="N374" s="94"/>
      <c r="O374" s="94"/>
      <c r="P374" s="94"/>
      <c r="Q374" s="95"/>
      <c r="R374" s="112">
        <v>10</v>
      </c>
      <c r="S374" s="97">
        <v>60</v>
      </c>
      <c r="T374" s="98">
        <f t="shared" si="112"/>
        <v>600</v>
      </c>
      <c r="U374" s="99">
        <v>0</v>
      </c>
      <c r="V374" s="100">
        <f t="shared" si="113"/>
        <v>0</v>
      </c>
      <c r="W374" s="101"/>
      <c r="X374" s="102"/>
      <c r="Y374" s="103"/>
      <c r="Z374" s="103"/>
      <c r="AA374" s="99">
        <v>10</v>
      </c>
      <c r="AB374" s="100">
        <f t="shared" si="114"/>
        <v>600</v>
      </c>
      <c r="AC374" s="104">
        <v>10</v>
      </c>
      <c r="AD374" s="105" t="s">
        <v>1105</v>
      </c>
      <c r="AE374" s="105">
        <v>24.61</v>
      </c>
      <c r="AF374" s="105">
        <f t="shared" si="117"/>
        <v>246.1</v>
      </c>
      <c r="AG374" s="99">
        <v>0</v>
      </c>
      <c r="AH374" s="100">
        <f t="shared" si="115"/>
        <v>0</v>
      </c>
      <c r="AI374" s="106"/>
      <c r="AJ374" s="107"/>
      <c r="AK374" s="107"/>
      <c r="AL374" s="107"/>
      <c r="AM374" s="99">
        <v>0</v>
      </c>
      <c r="AN374" s="100">
        <f t="shared" si="116"/>
        <v>0</v>
      </c>
      <c r="AO374" s="108">
        <f t="shared" si="111"/>
        <v>10</v>
      </c>
    </row>
    <row r="375" spans="1:41" ht="20.45" customHeight="1">
      <c r="A375" s="85" t="s">
        <v>1527</v>
      </c>
      <c r="B375" s="86">
        <v>363</v>
      </c>
      <c r="C375" s="87">
        <v>575579</v>
      </c>
      <c r="D375" s="88">
        <v>697671</v>
      </c>
      <c r="E375" s="88"/>
      <c r="F375" s="117" t="s">
        <v>1528</v>
      </c>
      <c r="G375" s="109" t="s">
        <v>1529</v>
      </c>
      <c r="H375" s="109"/>
      <c r="I375" s="91">
        <v>1</v>
      </c>
      <c r="J375" s="92" t="s">
        <v>88</v>
      </c>
      <c r="K375" s="93">
        <v>1</v>
      </c>
      <c r="L375" s="93" t="s">
        <v>728</v>
      </c>
      <c r="M375" s="211"/>
      <c r="N375" s="211"/>
      <c r="O375" s="211"/>
      <c r="P375" s="94"/>
      <c r="Q375" s="95"/>
      <c r="R375" s="112">
        <v>60</v>
      </c>
      <c r="S375" s="97">
        <v>75</v>
      </c>
      <c r="T375" s="98">
        <f t="shared" si="112"/>
        <v>4500</v>
      </c>
      <c r="U375" s="99">
        <v>0</v>
      </c>
      <c r="V375" s="100">
        <f t="shared" si="113"/>
        <v>0</v>
      </c>
      <c r="W375" s="101"/>
      <c r="X375" s="102"/>
      <c r="Y375" s="103"/>
      <c r="Z375" s="103"/>
      <c r="AA375" s="99">
        <v>60</v>
      </c>
      <c r="AB375" s="100">
        <f t="shared" si="114"/>
        <v>4500</v>
      </c>
      <c r="AC375" s="104">
        <v>60</v>
      </c>
      <c r="AD375" s="105" t="s">
        <v>1016</v>
      </c>
      <c r="AE375" s="105">
        <v>51.52</v>
      </c>
      <c r="AF375" s="105">
        <f>515.2+2576</f>
        <v>3091.2</v>
      </c>
      <c r="AG375" s="99">
        <v>0</v>
      </c>
      <c r="AH375" s="100">
        <f t="shared" si="115"/>
        <v>0</v>
      </c>
      <c r="AI375" s="106"/>
      <c r="AJ375" s="107"/>
      <c r="AK375" s="107"/>
      <c r="AL375" s="107"/>
      <c r="AM375" s="99">
        <v>0</v>
      </c>
      <c r="AN375" s="100">
        <f t="shared" si="116"/>
        <v>0</v>
      </c>
      <c r="AO375" s="108">
        <f t="shared" si="111"/>
        <v>60</v>
      </c>
    </row>
    <row r="376" spans="1:41" ht="20.45" customHeight="1">
      <c r="A376" s="85" t="s">
        <v>1533</v>
      </c>
      <c r="B376" s="86">
        <v>365</v>
      </c>
      <c r="C376" s="87">
        <v>762785</v>
      </c>
      <c r="D376" s="88">
        <v>199724</v>
      </c>
      <c r="E376" s="88"/>
      <c r="F376" s="117" t="s">
        <v>1534</v>
      </c>
      <c r="G376" s="109" t="s">
        <v>1535</v>
      </c>
      <c r="H376" s="109"/>
      <c r="I376" s="91">
        <v>1</v>
      </c>
      <c r="J376" s="91" t="s">
        <v>327</v>
      </c>
      <c r="K376" s="92">
        <v>1</v>
      </c>
      <c r="L376" s="93" t="s">
        <v>52</v>
      </c>
      <c r="M376" s="211"/>
      <c r="N376" s="211"/>
      <c r="O376" s="211"/>
      <c r="P376" s="94"/>
      <c r="Q376" s="95"/>
      <c r="R376" s="112">
        <v>24</v>
      </c>
      <c r="S376" s="97">
        <v>48.15</v>
      </c>
      <c r="T376" s="98">
        <f t="shared" si="112"/>
        <v>1155.5999999999999</v>
      </c>
      <c r="U376" s="99">
        <v>0</v>
      </c>
      <c r="V376" s="100">
        <f t="shared" si="113"/>
        <v>0</v>
      </c>
      <c r="W376" s="101"/>
      <c r="X376" s="102"/>
      <c r="Y376" s="103"/>
      <c r="Z376" s="204"/>
      <c r="AA376" s="99">
        <v>8</v>
      </c>
      <c r="AB376" s="100">
        <f t="shared" si="114"/>
        <v>385.2</v>
      </c>
      <c r="AC376" s="104">
        <f>6+2</f>
        <v>8</v>
      </c>
      <c r="AD376" s="105" t="s">
        <v>1105</v>
      </c>
      <c r="AE376" s="105">
        <f>96.3/2</f>
        <v>48.15</v>
      </c>
      <c r="AF376" s="105">
        <f>AE376*AC376</f>
        <v>385.2</v>
      </c>
      <c r="AG376" s="99">
        <v>8</v>
      </c>
      <c r="AH376" s="100">
        <f t="shared" si="115"/>
        <v>385.2</v>
      </c>
      <c r="AI376" s="106"/>
      <c r="AJ376" s="107"/>
      <c r="AK376" s="107"/>
      <c r="AL376" s="107"/>
      <c r="AM376" s="99">
        <v>8</v>
      </c>
      <c r="AN376" s="100">
        <f t="shared" si="116"/>
        <v>385.2</v>
      </c>
      <c r="AO376" s="108">
        <f t="shared" si="111"/>
        <v>24</v>
      </c>
    </row>
    <row r="377" spans="1:41" ht="20.45" customHeight="1">
      <c r="A377" s="200"/>
      <c r="B377" s="91"/>
      <c r="C377" s="201"/>
      <c r="D377" s="202"/>
      <c r="E377" s="202"/>
      <c r="F377" s="205"/>
      <c r="G377" s="109"/>
      <c r="H377" s="109"/>
      <c r="I377" s="109"/>
      <c r="J377" s="92"/>
      <c r="K377" s="93"/>
      <c r="L377" s="93"/>
      <c r="M377" s="211"/>
      <c r="N377" s="211"/>
      <c r="O377" s="211"/>
      <c r="P377" s="94"/>
      <c r="Q377" s="95"/>
      <c r="R377" s="96"/>
      <c r="S377" s="97"/>
      <c r="T377" s="159"/>
      <c r="U377" s="99"/>
      <c r="V377" s="100"/>
      <c r="W377" s="101"/>
      <c r="X377" s="102"/>
      <c r="Y377" s="103"/>
      <c r="Z377" s="103"/>
      <c r="AA377" s="99"/>
      <c r="AB377" s="100"/>
      <c r="AC377" s="104"/>
      <c r="AD377" s="105"/>
      <c r="AE377" s="105"/>
      <c r="AF377" s="105"/>
      <c r="AG377" s="99"/>
      <c r="AH377" s="100"/>
      <c r="AI377" s="106"/>
      <c r="AJ377" s="107"/>
      <c r="AK377" s="107"/>
      <c r="AL377" s="107"/>
      <c r="AM377" s="99"/>
      <c r="AN377" s="100">
        <f t="shared" si="116"/>
        <v>0</v>
      </c>
      <c r="AO377" s="108">
        <f t="shared" si="111"/>
        <v>0</v>
      </c>
    </row>
    <row r="378" spans="1:41" ht="20.45" customHeight="1">
      <c r="A378" s="200"/>
      <c r="B378" s="91"/>
      <c r="C378" s="201"/>
      <c r="D378" s="202"/>
      <c r="E378" s="202"/>
      <c r="F378" s="212"/>
      <c r="G378" s="213" t="s">
        <v>1536</v>
      </c>
      <c r="H378" s="109"/>
      <c r="I378" s="91"/>
      <c r="J378" s="92"/>
      <c r="K378" s="93"/>
      <c r="L378" s="93"/>
      <c r="M378" s="94"/>
      <c r="N378" s="94"/>
      <c r="O378" s="94"/>
      <c r="P378" s="94"/>
      <c r="Q378" s="95"/>
      <c r="R378" s="96"/>
      <c r="S378" s="97"/>
      <c r="T378" s="159"/>
      <c r="U378" s="99"/>
      <c r="V378" s="100"/>
      <c r="W378" s="101"/>
      <c r="X378" s="102"/>
      <c r="Y378" s="103"/>
      <c r="Z378" s="103"/>
      <c r="AA378" s="99"/>
      <c r="AB378" s="100"/>
      <c r="AC378" s="104"/>
      <c r="AD378" s="105"/>
      <c r="AE378" s="105"/>
      <c r="AF378" s="105"/>
      <c r="AG378" s="99"/>
      <c r="AH378" s="100"/>
      <c r="AI378" s="106"/>
      <c r="AJ378" s="107"/>
      <c r="AK378" s="107"/>
      <c r="AL378" s="107"/>
      <c r="AM378" s="99"/>
      <c r="AN378" s="100"/>
      <c r="AO378" s="108"/>
    </row>
    <row r="379" spans="1:41" ht="20.45" customHeight="1">
      <c r="A379" s="200" t="s">
        <v>1537</v>
      </c>
      <c r="B379" s="91">
        <v>1</v>
      </c>
      <c r="C379" s="201">
        <v>9092592</v>
      </c>
      <c r="D379" s="202"/>
      <c r="E379" s="202"/>
      <c r="F379" s="205" t="s">
        <v>1538</v>
      </c>
      <c r="G379" s="214" t="s">
        <v>1539</v>
      </c>
      <c r="H379" s="215" t="s">
        <v>1540</v>
      </c>
      <c r="I379" s="91">
        <v>1</v>
      </c>
      <c r="J379" s="92" t="s">
        <v>184</v>
      </c>
      <c r="K379" s="93">
        <v>1000</v>
      </c>
      <c r="L379" s="93" t="s">
        <v>185</v>
      </c>
      <c r="M379" s="116">
        <f>34.5*12/10</f>
        <v>41.4</v>
      </c>
      <c r="N379" s="116">
        <f>28/9*12</f>
        <v>37.333333333333336</v>
      </c>
      <c r="O379" s="116">
        <v>66.666666666666671</v>
      </c>
      <c r="P379" s="94">
        <v>95</v>
      </c>
      <c r="Q379" s="95">
        <v>15</v>
      </c>
      <c r="R379" s="112">
        <v>180</v>
      </c>
      <c r="S379" s="110">
        <v>600</v>
      </c>
      <c r="T379" s="98">
        <f t="shared" ref="T379:T411" si="118">S379*R379</f>
        <v>108000</v>
      </c>
      <c r="U379" s="99">
        <v>20</v>
      </c>
      <c r="V379" s="100">
        <f t="shared" ref="V379:V411" si="119">U379*S379</f>
        <v>12000</v>
      </c>
      <c r="W379" s="101">
        <v>20</v>
      </c>
      <c r="X379" s="102" t="s">
        <v>1541</v>
      </c>
      <c r="Y379" s="103">
        <f>275*2</f>
        <v>550</v>
      </c>
      <c r="Z379" s="103">
        <f t="shared" ref="Z379:Z385" si="120">Y379*W379</f>
        <v>11000</v>
      </c>
      <c r="AA379" s="99">
        <v>20</v>
      </c>
      <c r="AB379" s="100">
        <f t="shared" ref="AB379:AB411" si="121">AA379*S379</f>
        <v>12000</v>
      </c>
      <c r="AC379" s="104">
        <f>90+20</f>
        <v>110</v>
      </c>
      <c r="AD379" s="105" t="s">
        <v>1541</v>
      </c>
      <c r="AE379" s="105">
        <v>550</v>
      </c>
      <c r="AF379" s="105">
        <f>AE379*AC379</f>
        <v>60500</v>
      </c>
      <c r="AG379" s="99">
        <v>90</v>
      </c>
      <c r="AH379" s="100">
        <f t="shared" ref="AH379:AH411" si="122">S379*AG379</f>
        <v>54000</v>
      </c>
      <c r="AI379" s="106"/>
      <c r="AJ379" s="107"/>
      <c r="AK379" s="107"/>
      <c r="AL379" s="107"/>
      <c r="AM379" s="99">
        <v>50</v>
      </c>
      <c r="AN379" s="100">
        <f t="shared" ref="AN379:AN411" si="123">S379*AM379</f>
        <v>30000</v>
      </c>
      <c r="AO379" s="108">
        <f t="shared" ref="AO379:AO411" si="124">U379+AA379+AG379+AM379</f>
        <v>180</v>
      </c>
    </row>
    <row r="380" spans="1:41" ht="20.45" customHeight="1">
      <c r="A380" s="200" t="s">
        <v>1542</v>
      </c>
      <c r="B380" s="91">
        <v>2</v>
      </c>
      <c r="C380" s="201">
        <v>9093176</v>
      </c>
      <c r="D380" s="202"/>
      <c r="E380" s="202"/>
      <c r="F380" s="205" t="s">
        <v>1543</v>
      </c>
      <c r="G380" s="109" t="s">
        <v>1544</v>
      </c>
      <c r="H380" s="109"/>
      <c r="I380" s="91">
        <v>1</v>
      </c>
      <c r="J380" s="92" t="s">
        <v>266</v>
      </c>
      <c r="K380" s="93">
        <v>1</v>
      </c>
      <c r="L380" s="93" t="s">
        <v>267</v>
      </c>
      <c r="M380" s="116">
        <f>349*12/10</f>
        <v>418.8</v>
      </c>
      <c r="N380" s="116">
        <f>415*12/9</f>
        <v>553.33333333333337</v>
      </c>
      <c r="O380" s="116">
        <v>689.33333333333337</v>
      </c>
      <c r="P380" s="94">
        <v>680</v>
      </c>
      <c r="Q380" s="95">
        <v>180</v>
      </c>
      <c r="R380" s="112">
        <v>800</v>
      </c>
      <c r="S380" s="110">
        <v>21</v>
      </c>
      <c r="T380" s="98">
        <f t="shared" si="118"/>
        <v>16800</v>
      </c>
      <c r="U380" s="99">
        <v>0</v>
      </c>
      <c r="V380" s="100">
        <f t="shared" si="119"/>
        <v>0</v>
      </c>
      <c r="W380" s="101"/>
      <c r="X380" s="102"/>
      <c r="Y380" s="103"/>
      <c r="Z380" s="103">
        <f t="shared" si="120"/>
        <v>0</v>
      </c>
      <c r="AA380" s="99">
        <v>400</v>
      </c>
      <c r="AB380" s="100">
        <f t="shared" si="121"/>
        <v>8400</v>
      </c>
      <c r="AC380" s="104">
        <v>400</v>
      </c>
      <c r="AD380" s="105" t="s">
        <v>1545</v>
      </c>
      <c r="AE380" s="105">
        <v>21</v>
      </c>
      <c r="AF380" s="105">
        <f>AE380*AC380</f>
        <v>8400</v>
      </c>
      <c r="AG380" s="99">
        <v>200</v>
      </c>
      <c r="AH380" s="100">
        <f t="shared" si="122"/>
        <v>4200</v>
      </c>
      <c r="AI380" s="106"/>
      <c r="AJ380" s="107"/>
      <c r="AK380" s="107"/>
      <c r="AL380" s="107"/>
      <c r="AM380" s="99">
        <v>200</v>
      </c>
      <c r="AN380" s="100">
        <f t="shared" si="123"/>
        <v>4200</v>
      </c>
      <c r="AO380" s="108">
        <f t="shared" si="124"/>
        <v>800</v>
      </c>
    </row>
    <row r="381" spans="1:41" ht="20.45" customHeight="1">
      <c r="A381" s="200" t="s">
        <v>1546</v>
      </c>
      <c r="B381" s="91">
        <v>3</v>
      </c>
      <c r="C381" s="201">
        <v>9401885</v>
      </c>
      <c r="D381" s="202"/>
      <c r="E381" s="202"/>
      <c r="F381" s="216" t="s">
        <v>1547</v>
      </c>
      <c r="G381" s="214" t="s">
        <v>1548</v>
      </c>
      <c r="H381" s="215" t="s">
        <v>1540</v>
      </c>
      <c r="I381" s="91">
        <v>1</v>
      </c>
      <c r="J381" s="92" t="s">
        <v>184</v>
      </c>
      <c r="K381" s="93">
        <v>100</v>
      </c>
      <c r="L381" s="93" t="s">
        <v>185</v>
      </c>
      <c r="M381" s="116">
        <f>335/10*12</f>
        <v>402</v>
      </c>
      <c r="N381" s="116">
        <f>434/9*12</f>
        <v>578.66666666666663</v>
      </c>
      <c r="O381" s="116">
        <v>786.66666666666663</v>
      </c>
      <c r="P381" s="94">
        <v>1000</v>
      </c>
      <c r="Q381" s="95">
        <v>200</v>
      </c>
      <c r="R381" s="112">
        <v>1400</v>
      </c>
      <c r="S381" s="97">
        <v>90</v>
      </c>
      <c r="T381" s="98">
        <f t="shared" si="118"/>
        <v>126000</v>
      </c>
      <c r="U381" s="99">
        <v>400</v>
      </c>
      <c r="V381" s="100">
        <f t="shared" si="119"/>
        <v>36000</v>
      </c>
      <c r="W381" s="101">
        <f>2*200</f>
        <v>400</v>
      </c>
      <c r="X381" s="102" t="s">
        <v>1541</v>
      </c>
      <c r="Y381" s="103">
        <v>80</v>
      </c>
      <c r="Z381" s="103">
        <f t="shared" si="120"/>
        <v>32000</v>
      </c>
      <c r="AA381" s="99">
        <v>200</v>
      </c>
      <c r="AB381" s="100">
        <f t="shared" si="121"/>
        <v>18000</v>
      </c>
      <c r="AC381" s="104">
        <v>700</v>
      </c>
      <c r="AD381" s="105" t="s">
        <v>1541</v>
      </c>
      <c r="AE381" s="105">
        <v>80</v>
      </c>
      <c r="AF381" s="105">
        <f>16000+35000</f>
        <v>51000</v>
      </c>
      <c r="AG381" s="99">
        <v>500</v>
      </c>
      <c r="AH381" s="100">
        <f t="shared" si="122"/>
        <v>45000</v>
      </c>
      <c r="AI381" s="106"/>
      <c r="AJ381" s="107"/>
      <c r="AK381" s="107"/>
      <c r="AL381" s="107"/>
      <c r="AM381" s="99">
        <v>300</v>
      </c>
      <c r="AN381" s="100">
        <f t="shared" si="123"/>
        <v>27000</v>
      </c>
      <c r="AO381" s="108">
        <f t="shared" si="124"/>
        <v>1400</v>
      </c>
    </row>
    <row r="382" spans="1:41" ht="20.45" customHeight="1">
      <c r="A382" s="200" t="s">
        <v>1549</v>
      </c>
      <c r="B382" s="91">
        <v>4</v>
      </c>
      <c r="C382" s="201">
        <v>9097154</v>
      </c>
      <c r="D382" s="202"/>
      <c r="E382" s="202"/>
      <c r="F382" s="205" t="s">
        <v>1550</v>
      </c>
      <c r="G382" s="214" t="s">
        <v>1551</v>
      </c>
      <c r="H382" s="109"/>
      <c r="I382" s="91">
        <v>1</v>
      </c>
      <c r="J382" s="92" t="s">
        <v>266</v>
      </c>
      <c r="K382" s="93">
        <v>1</v>
      </c>
      <c r="L382" s="93" t="s">
        <v>267</v>
      </c>
      <c r="M382" s="116">
        <v>0</v>
      </c>
      <c r="N382" s="116">
        <v>0</v>
      </c>
      <c r="O382" s="116">
        <v>22532</v>
      </c>
      <c r="P382" s="94">
        <v>24000</v>
      </c>
      <c r="Q382" s="95">
        <v>0</v>
      </c>
      <c r="R382" s="112">
        <v>28000</v>
      </c>
      <c r="S382" s="97">
        <v>35</v>
      </c>
      <c r="T382" s="98">
        <f t="shared" si="118"/>
        <v>980000</v>
      </c>
      <c r="U382" s="99">
        <v>6000</v>
      </c>
      <c r="V382" s="100">
        <f t="shared" si="119"/>
        <v>210000</v>
      </c>
      <c r="W382" s="101">
        <v>6000</v>
      </c>
      <c r="X382" s="102" t="s">
        <v>1541</v>
      </c>
      <c r="Y382" s="103">
        <v>32</v>
      </c>
      <c r="Z382" s="103">
        <f t="shared" si="120"/>
        <v>192000</v>
      </c>
      <c r="AA382" s="99">
        <v>6000</v>
      </c>
      <c r="AB382" s="100">
        <f t="shared" si="121"/>
        <v>210000</v>
      </c>
      <c r="AC382" s="104">
        <v>6000</v>
      </c>
      <c r="AD382" s="105" t="s">
        <v>1541</v>
      </c>
      <c r="AE382" s="105">
        <v>32</v>
      </c>
      <c r="AF382" s="105">
        <f t="shared" ref="AF382:AF388" si="125">AE382*AC382</f>
        <v>192000</v>
      </c>
      <c r="AG382" s="99">
        <v>8000</v>
      </c>
      <c r="AH382" s="100">
        <f t="shared" si="122"/>
        <v>280000</v>
      </c>
      <c r="AI382" s="106"/>
      <c r="AJ382" s="107"/>
      <c r="AK382" s="107"/>
      <c r="AL382" s="107"/>
      <c r="AM382" s="99">
        <v>8000</v>
      </c>
      <c r="AN382" s="100">
        <f t="shared" si="123"/>
        <v>280000</v>
      </c>
      <c r="AO382" s="108">
        <f t="shared" si="124"/>
        <v>28000</v>
      </c>
    </row>
    <row r="383" spans="1:41" ht="20.45" customHeight="1">
      <c r="A383" s="200" t="s">
        <v>1552</v>
      </c>
      <c r="B383" s="91">
        <v>5</v>
      </c>
      <c r="C383" s="201">
        <v>9367068</v>
      </c>
      <c r="D383" s="202"/>
      <c r="E383" s="202"/>
      <c r="F383" s="216" t="s">
        <v>1553</v>
      </c>
      <c r="G383" s="109" t="s">
        <v>1554</v>
      </c>
      <c r="H383" s="109"/>
      <c r="I383" s="91">
        <v>1</v>
      </c>
      <c r="J383" s="92" t="s">
        <v>184</v>
      </c>
      <c r="K383" s="178">
        <v>50</v>
      </c>
      <c r="L383" s="93" t="s">
        <v>185</v>
      </c>
      <c r="M383" s="116">
        <f>8000/50*12/10</f>
        <v>192</v>
      </c>
      <c r="N383" s="116">
        <f>180*12/9</f>
        <v>240</v>
      </c>
      <c r="O383" s="116">
        <v>274.66666666666669</v>
      </c>
      <c r="P383" s="94">
        <v>370</v>
      </c>
      <c r="Q383" s="95">
        <v>70</v>
      </c>
      <c r="R383" s="112">
        <v>400</v>
      </c>
      <c r="S383" s="110">
        <v>40</v>
      </c>
      <c r="T383" s="98">
        <f t="shared" si="118"/>
        <v>16000</v>
      </c>
      <c r="U383" s="99">
        <v>100</v>
      </c>
      <c r="V383" s="100">
        <f t="shared" si="119"/>
        <v>4000</v>
      </c>
      <c r="W383" s="101">
        <v>100</v>
      </c>
      <c r="X383" s="102" t="s">
        <v>1541</v>
      </c>
      <c r="Y383" s="103">
        <v>35</v>
      </c>
      <c r="Z383" s="103">
        <f t="shared" si="120"/>
        <v>3500</v>
      </c>
      <c r="AA383" s="99">
        <v>100</v>
      </c>
      <c r="AB383" s="100">
        <f t="shared" si="121"/>
        <v>4000</v>
      </c>
      <c r="AC383" s="104">
        <v>100</v>
      </c>
      <c r="AD383" s="105" t="s">
        <v>1541</v>
      </c>
      <c r="AE383" s="105">
        <v>35</v>
      </c>
      <c r="AF383" s="105">
        <f t="shared" si="125"/>
        <v>3500</v>
      </c>
      <c r="AG383" s="99">
        <v>100</v>
      </c>
      <c r="AH383" s="100">
        <f t="shared" si="122"/>
        <v>4000</v>
      </c>
      <c r="AI383" s="106"/>
      <c r="AJ383" s="107"/>
      <c r="AK383" s="107"/>
      <c r="AL383" s="107"/>
      <c r="AM383" s="99">
        <v>100</v>
      </c>
      <c r="AN383" s="100">
        <f t="shared" si="123"/>
        <v>4000</v>
      </c>
      <c r="AO383" s="108">
        <f t="shared" si="124"/>
        <v>400</v>
      </c>
    </row>
    <row r="384" spans="1:41" ht="20.45" customHeight="1">
      <c r="A384" s="200" t="s">
        <v>1555</v>
      </c>
      <c r="B384" s="91">
        <v>6</v>
      </c>
      <c r="C384" s="201">
        <v>9093772</v>
      </c>
      <c r="D384" s="202"/>
      <c r="E384" s="202"/>
      <c r="F384" s="216" t="s">
        <v>1556</v>
      </c>
      <c r="G384" s="214" t="s">
        <v>1557</v>
      </c>
      <c r="H384" s="215" t="s">
        <v>1540</v>
      </c>
      <c r="I384" s="91">
        <v>1</v>
      </c>
      <c r="J384" s="92" t="s">
        <v>184</v>
      </c>
      <c r="K384" s="93">
        <v>100</v>
      </c>
      <c r="L384" s="93" t="s">
        <v>185</v>
      </c>
      <c r="M384" s="116">
        <f>694*12/10</f>
        <v>832.8</v>
      </c>
      <c r="N384" s="116">
        <f>657*12/9</f>
        <v>876</v>
      </c>
      <c r="O384" s="116">
        <v>924</v>
      </c>
      <c r="P384" s="94">
        <v>1000</v>
      </c>
      <c r="Q384" s="95">
        <v>100</v>
      </c>
      <c r="R384" s="112">
        <v>1480</v>
      </c>
      <c r="S384" s="152">
        <v>70</v>
      </c>
      <c r="T384" s="98">
        <f t="shared" si="118"/>
        <v>103600</v>
      </c>
      <c r="U384" s="99">
        <v>200</v>
      </c>
      <c r="V384" s="100">
        <f t="shared" si="119"/>
        <v>14000</v>
      </c>
      <c r="W384" s="101">
        <v>200</v>
      </c>
      <c r="X384" s="102" t="s">
        <v>1558</v>
      </c>
      <c r="Y384" s="103">
        <v>60</v>
      </c>
      <c r="Z384" s="103">
        <f t="shared" si="120"/>
        <v>12000</v>
      </c>
      <c r="AA384" s="99">
        <v>680</v>
      </c>
      <c r="AB384" s="100">
        <f t="shared" si="121"/>
        <v>47600</v>
      </c>
      <c r="AC384" s="104">
        <f>380+300</f>
        <v>680</v>
      </c>
      <c r="AD384" s="105" t="s">
        <v>1558</v>
      </c>
      <c r="AE384" s="105">
        <v>60</v>
      </c>
      <c r="AF384" s="105">
        <f t="shared" si="125"/>
        <v>40800</v>
      </c>
      <c r="AG384" s="99">
        <v>300</v>
      </c>
      <c r="AH384" s="100">
        <f t="shared" si="122"/>
        <v>21000</v>
      </c>
      <c r="AI384" s="106"/>
      <c r="AJ384" s="107"/>
      <c r="AK384" s="107"/>
      <c r="AL384" s="107"/>
      <c r="AM384" s="99">
        <v>300</v>
      </c>
      <c r="AN384" s="100">
        <f t="shared" si="123"/>
        <v>21000</v>
      </c>
      <c r="AO384" s="108">
        <f t="shared" si="124"/>
        <v>1480</v>
      </c>
    </row>
    <row r="385" spans="1:41" ht="20.45" customHeight="1">
      <c r="A385" s="200" t="s">
        <v>1559</v>
      </c>
      <c r="B385" s="91">
        <v>7</v>
      </c>
      <c r="C385" s="201">
        <v>9398240</v>
      </c>
      <c r="D385" s="202"/>
      <c r="E385" s="202"/>
      <c r="F385" s="216" t="s">
        <v>1560</v>
      </c>
      <c r="G385" s="214" t="s">
        <v>1561</v>
      </c>
      <c r="H385" s="215"/>
      <c r="I385" s="91">
        <v>1</v>
      </c>
      <c r="J385" s="92" t="s">
        <v>51</v>
      </c>
      <c r="K385" s="93">
        <v>1</v>
      </c>
      <c r="L385" s="93" t="s">
        <v>52</v>
      </c>
      <c r="M385" s="116">
        <f>5165*12/10</f>
        <v>6198</v>
      </c>
      <c r="N385" s="116">
        <f>4589*12/9</f>
        <v>6118.666666666667</v>
      </c>
      <c r="O385" s="116">
        <v>7513.333333333333</v>
      </c>
      <c r="P385" s="94">
        <v>7700</v>
      </c>
      <c r="Q385" s="95">
        <v>2700</v>
      </c>
      <c r="R385" s="112">
        <v>8000</v>
      </c>
      <c r="S385" s="110">
        <v>14</v>
      </c>
      <c r="T385" s="98">
        <f t="shared" si="118"/>
        <v>112000</v>
      </c>
      <c r="U385" s="99">
        <v>1500</v>
      </c>
      <c r="V385" s="100">
        <f t="shared" si="119"/>
        <v>21000</v>
      </c>
      <c r="W385" s="101">
        <v>1500</v>
      </c>
      <c r="X385" s="102" t="s">
        <v>866</v>
      </c>
      <c r="Y385" s="103">
        <v>14</v>
      </c>
      <c r="Z385" s="103">
        <f t="shared" si="120"/>
        <v>21000</v>
      </c>
      <c r="AA385" s="99">
        <v>2500</v>
      </c>
      <c r="AB385" s="100">
        <f t="shared" si="121"/>
        <v>35000</v>
      </c>
      <c r="AC385" s="104">
        <f>1500+1000</f>
        <v>2500</v>
      </c>
      <c r="AD385" s="105" t="s">
        <v>866</v>
      </c>
      <c r="AE385" s="105">
        <v>14</v>
      </c>
      <c r="AF385" s="105">
        <f t="shared" si="125"/>
        <v>35000</v>
      </c>
      <c r="AG385" s="99">
        <v>2000</v>
      </c>
      <c r="AH385" s="100">
        <f t="shared" si="122"/>
        <v>28000</v>
      </c>
      <c r="AI385" s="106">
        <v>2000</v>
      </c>
      <c r="AJ385" s="107" t="s">
        <v>866</v>
      </c>
      <c r="AK385" s="107">
        <v>13.5</v>
      </c>
      <c r="AL385" s="107">
        <f>AK385*AI385</f>
        <v>27000</v>
      </c>
      <c r="AM385" s="99">
        <v>2000</v>
      </c>
      <c r="AN385" s="100">
        <f t="shared" si="123"/>
        <v>28000</v>
      </c>
      <c r="AO385" s="108">
        <f t="shared" si="124"/>
        <v>8000</v>
      </c>
    </row>
    <row r="386" spans="1:41" ht="20.45" customHeight="1">
      <c r="A386" s="200" t="s">
        <v>1562</v>
      </c>
      <c r="B386" s="91">
        <v>8</v>
      </c>
      <c r="C386" s="201">
        <v>9378656</v>
      </c>
      <c r="D386" s="202"/>
      <c r="E386" s="202"/>
      <c r="F386" s="205" t="s">
        <v>1563</v>
      </c>
      <c r="G386" s="217" t="s">
        <v>1564</v>
      </c>
      <c r="H386" s="109"/>
      <c r="I386" s="91">
        <v>1</v>
      </c>
      <c r="J386" s="92" t="s">
        <v>83</v>
      </c>
      <c r="K386" s="93">
        <v>50</v>
      </c>
      <c r="L386" s="93" t="s">
        <v>84</v>
      </c>
      <c r="M386" s="116">
        <f>1000/50</f>
        <v>20</v>
      </c>
      <c r="N386" s="116">
        <f>1150/9*12/50</f>
        <v>30.666666666666664</v>
      </c>
      <c r="O386" s="116">
        <f>1600/50</f>
        <v>32</v>
      </c>
      <c r="P386" s="94">
        <v>340</v>
      </c>
      <c r="Q386" s="95">
        <v>0</v>
      </c>
      <c r="R386" s="112">
        <v>340</v>
      </c>
      <c r="S386" s="97">
        <v>65</v>
      </c>
      <c r="T386" s="98">
        <f t="shared" si="118"/>
        <v>22100</v>
      </c>
      <c r="U386" s="99">
        <v>0</v>
      </c>
      <c r="V386" s="100">
        <f t="shared" si="119"/>
        <v>0</v>
      </c>
      <c r="W386" s="101"/>
      <c r="X386" s="102"/>
      <c r="Y386" s="103"/>
      <c r="Z386" s="103"/>
      <c r="AA386" s="99">
        <v>140</v>
      </c>
      <c r="AB386" s="100">
        <f t="shared" si="121"/>
        <v>9100</v>
      </c>
      <c r="AC386" s="104">
        <v>140</v>
      </c>
      <c r="AD386" s="105" t="s">
        <v>1565</v>
      </c>
      <c r="AE386" s="105">
        <v>65</v>
      </c>
      <c r="AF386" s="105">
        <f t="shared" si="125"/>
        <v>9100</v>
      </c>
      <c r="AG386" s="99">
        <v>100</v>
      </c>
      <c r="AH386" s="100">
        <f t="shared" si="122"/>
        <v>6500</v>
      </c>
      <c r="AI386" s="106"/>
      <c r="AJ386" s="107"/>
      <c r="AK386" s="107"/>
      <c r="AL386" s="107"/>
      <c r="AM386" s="99">
        <v>100</v>
      </c>
      <c r="AN386" s="100">
        <f t="shared" si="123"/>
        <v>6500</v>
      </c>
      <c r="AO386" s="108">
        <f t="shared" si="124"/>
        <v>340</v>
      </c>
    </row>
    <row r="387" spans="1:41" ht="20.45" customHeight="1">
      <c r="A387" s="200" t="s">
        <v>1566</v>
      </c>
      <c r="B387" s="91">
        <v>9</v>
      </c>
      <c r="C387" s="201">
        <v>9093304</v>
      </c>
      <c r="D387" s="202"/>
      <c r="E387" s="202"/>
      <c r="F387" s="205" t="s">
        <v>1567</v>
      </c>
      <c r="G387" s="109" t="s">
        <v>1568</v>
      </c>
      <c r="H387" s="215" t="s">
        <v>1540</v>
      </c>
      <c r="I387" s="91">
        <v>1</v>
      </c>
      <c r="J387" s="92" t="s">
        <v>94</v>
      </c>
      <c r="K387" s="93">
        <v>10</v>
      </c>
      <c r="L387" s="93" t="s">
        <v>95</v>
      </c>
      <c r="M387" s="116">
        <v>48</v>
      </c>
      <c r="N387" s="116">
        <f>149/9*12</f>
        <v>198.66666666666669</v>
      </c>
      <c r="O387" s="116">
        <v>145.33333333333334</v>
      </c>
      <c r="P387" s="94">
        <v>150</v>
      </c>
      <c r="Q387" s="95">
        <v>50</v>
      </c>
      <c r="R387" s="112">
        <v>100</v>
      </c>
      <c r="S387" s="97">
        <v>35</v>
      </c>
      <c r="T387" s="98">
        <f t="shared" si="118"/>
        <v>3500</v>
      </c>
      <c r="U387" s="99">
        <v>0</v>
      </c>
      <c r="V387" s="100">
        <f t="shared" si="119"/>
        <v>0</v>
      </c>
      <c r="W387" s="101"/>
      <c r="X387" s="102"/>
      <c r="Y387" s="103"/>
      <c r="Z387" s="103"/>
      <c r="AA387" s="99">
        <v>0</v>
      </c>
      <c r="AB387" s="100">
        <f t="shared" si="121"/>
        <v>0</v>
      </c>
      <c r="AC387" s="104"/>
      <c r="AD387" s="105"/>
      <c r="AE387" s="105"/>
      <c r="AF387" s="105">
        <f t="shared" si="125"/>
        <v>0</v>
      </c>
      <c r="AG387" s="99">
        <v>100</v>
      </c>
      <c r="AH387" s="100">
        <f t="shared" si="122"/>
        <v>3500</v>
      </c>
      <c r="AI387" s="106"/>
      <c r="AJ387" s="107"/>
      <c r="AK387" s="107"/>
      <c r="AL387" s="107"/>
      <c r="AM387" s="99">
        <v>0</v>
      </c>
      <c r="AN387" s="100">
        <f t="shared" si="123"/>
        <v>0</v>
      </c>
      <c r="AO387" s="108">
        <f t="shared" si="124"/>
        <v>100</v>
      </c>
    </row>
    <row r="388" spans="1:41" ht="20.45" customHeight="1">
      <c r="A388" s="200" t="s">
        <v>1569</v>
      </c>
      <c r="B388" s="91">
        <v>10</v>
      </c>
      <c r="C388" s="201">
        <v>9192686</v>
      </c>
      <c r="D388" s="202"/>
      <c r="E388" s="202"/>
      <c r="F388" s="216" t="s">
        <v>1570</v>
      </c>
      <c r="G388" s="109" t="s">
        <v>1571</v>
      </c>
      <c r="H388" s="215" t="s">
        <v>1540</v>
      </c>
      <c r="I388" s="91">
        <v>1</v>
      </c>
      <c r="J388" s="92" t="s">
        <v>94</v>
      </c>
      <c r="K388" s="93">
        <v>1</v>
      </c>
      <c r="L388" s="93" t="s">
        <v>1572</v>
      </c>
      <c r="M388" s="116">
        <f>155*12/10</f>
        <v>186</v>
      </c>
      <c r="N388" s="116">
        <f>126/9*12</f>
        <v>168</v>
      </c>
      <c r="O388" s="116">
        <v>169.33333333333334</v>
      </c>
      <c r="P388" s="94">
        <v>200</v>
      </c>
      <c r="Q388" s="95">
        <v>0</v>
      </c>
      <c r="R388" s="145">
        <v>150</v>
      </c>
      <c r="S388" s="97">
        <v>90</v>
      </c>
      <c r="T388" s="98">
        <f t="shared" si="118"/>
        <v>13500</v>
      </c>
      <c r="U388" s="99">
        <v>0</v>
      </c>
      <c r="V388" s="100">
        <f t="shared" si="119"/>
        <v>0</v>
      </c>
      <c r="W388" s="101"/>
      <c r="X388" s="102"/>
      <c r="Y388" s="103"/>
      <c r="Z388" s="103"/>
      <c r="AA388" s="99">
        <v>50</v>
      </c>
      <c r="AB388" s="100">
        <f t="shared" si="121"/>
        <v>4500</v>
      </c>
      <c r="AC388" s="104">
        <v>50</v>
      </c>
      <c r="AD388" s="105" t="s">
        <v>1052</v>
      </c>
      <c r="AE388" s="105">
        <v>90</v>
      </c>
      <c r="AF388" s="105">
        <f t="shared" si="125"/>
        <v>4500</v>
      </c>
      <c r="AG388" s="99">
        <v>50</v>
      </c>
      <c r="AH388" s="100">
        <f t="shared" si="122"/>
        <v>4500</v>
      </c>
      <c r="AI388" s="106"/>
      <c r="AJ388" s="107"/>
      <c r="AK388" s="107"/>
      <c r="AL388" s="107"/>
      <c r="AM388" s="99">
        <v>50</v>
      </c>
      <c r="AN388" s="100">
        <f t="shared" si="123"/>
        <v>4500</v>
      </c>
      <c r="AO388" s="108">
        <f t="shared" si="124"/>
        <v>150</v>
      </c>
    </row>
    <row r="389" spans="1:41" ht="20.45" customHeight="1">
      <c r="A389" s="200" t="s">
        <v>1573</v>
      </c>
      <c r="B389" s="91">
        <v>11</v>
      </c>
      <c r="C389" s="201">
        <v>9385223</v>
      </c>
      <c r="D389" s="202"/>
      <c r="E389" s="202"/>
      <c r="F389" s="216" t="s">
        <v>1574</v>
      </c>
      <c r="G389" s="109" t="s">
        <v>1575</v>
      </c>
      <c r="H389" s="109"/>
      <c r="I389" s="91">
        <v>1</v>
      </c>
      <c r="J389" s="92" t="s">
        <v>184</v>
      </c>
      <c r="K389" s="93">
        <v>1</v>
      </c>
      <c r="L389" s="93" t="s">
        <v>185</v>
      </c>
      <c r="M389" s="116">
        <f>30*50</f>
        <v>1500</v>
      </c>
      <c r="N389" s="116">
        <f>500/9*12</f>
        <v>666.66666666666674</v>
      </c>
      <c r="O389" s="116">
        <v>3466.6666666666665</v>
      </c>
      <c r="P389" s="94">
        <v>4000</v>
      </c>
      <c r="Q389" s="95">
        <v>0</v>
      </c>
      <c r="R389" s="145">
        <v>2000</v>
      </c>
      <c r="S389" s="97">
        <v>1</v>
      </c>
      <c r="T389" s="98">
        <f t="shared" si="118"/>
        <v>2000</v>
      </c>
      <c r="U389" s="99">
        <v>0</v>
      </c>
      <c r="V389" s="100">
        <f t="shared" si="119"/>
        <v>0</v>
      </c>
      <c r="W389" s="101"/>
      <c r="X389" s="102"/>
      <c r="Y389" s="103"/>
      <c r="Z389" s="103"/>
      <c r="AA389" s="99">
        <v>0</v>
      </c>
      <c r="AB389" s="100">
        <f t="shared" si="121"/>
        <v>0</v>
      </c>
      <c r="AC389" s="104"/>
      <c r="AD389" s="105"/>
      <c r="AE389" s="105"/>
      <c r="AF389" s="105"/>
      <c r="AG389" s="99">
        <v>2000</v>
      </c>
      <c r="AH389" s="100">
        <f t="shared" si="122"/>
        <v>2000</v>
      </c>
      <c r="AI389" s="106"/>
      <c r="AJ389" s="107"/>
      <c r="AK389" s="107"/>
      <c r="AL389" s="107"/>
      <c r="AM389" s="99"/>
      <c r="AN389" s="100">
        <f t="shared" si="123"/>
        <v>0</v>
      </c>
      <c r="AO389" s="108">
        <f t="shared" si="124"/>
        <v>2000</v>
      </c>
    </row>
    <row r="390" spans="1:41" ht="20.45" customHeight="1">
      <c r="A390" s="200" t="s">
        <v>1576</v>
      </c>
      <c r="B390" s="91">
        <v>12</v>
      </c>
      <c r="C390" s="201">
        <v>9414053</v>
      </c>
      <c r="D390" s="202"/>
      <c r="E390" s="202"/>
      <c r="F390" s="205" t="s">
        <v>1577</v>
      </c>
      <c r="G390" s="109" t="s">
        <v>1578</v>
      </c>
      <c r="H390" s="109"/>
      <c r="I390" s="91">
        <v>1</v>
      </c>
      <c r="J390" s="92" t="s">
        <v>184</v>
      </c>
      <c r="K390" s="93">
        <v>100</v>
      </c>
      <c r="L390" s="93" t="s">
        <v>185</v>
      </c>
      <c r="M390" s="116">
        <v>38</v>
      </c>
      <c r="N390" s="116">
        <f>12/9*12</f>
        <v>16</v>
      </c>
      <c r="O390" s="116">
        <v>13.333333333333334</v>
      </c>
      <c r="P390" s="94">
        <v>27</v>
      </c>
      <c r="Q390" s="95">
        <v>7</v>
      </c>
      <c r="R390" s="145">
        <v>10</v>
      </c>
      <c r="S390" s="97">
        <v>350</v>
      </c>
      <c r="T390" s="98">
        <f t="shared" si="118"/>
        <v>3500</v>
      </c>
      <c r="U390" s="99">
        <v>0</v>
      </c>
      <c r="V390" s="100">
        <f t="shared" si="119"/>
        <v>0</v>
      </c>
      <c r="W390" s="101"/>
      <c r="X390" s="102"/>
      <c r="Y390" s="103"/>
      <c r="Z390" s="103"/>
      <c r="AA390" s="99">
        <v>0</v>
      </c>
      <c r="AB390" s="100">
        <f t="shared" si="121"/>
        <v>0</v>
      </c>
      <c r="AC390" s="104"/>
      <c r="AD390" s="105"/>
      <c r="AE390" s="105"/>
      <c r="AF390" s="105"/>
      <c r="AG390" s="99">
        <v>10</v>
      </c>
      <c r="AH390" s="100">
        <f t="shared" si="122"/>
        <v>3500</v>
      </c>
      <c r="AI390" s="106"/>
      <c r="AJ390" s="107"/>
      <c r="AK390" s="107"/>
      <c r="AL390" s="107"/>
      <c r="AM390" s="99">
        <v>0</v>
      </c>
      <c r="AN390" s="100">
        <f t="shared" si="123"/>
        <v>0</v>
      </c>
      <c r="AO390" s="108">
        <f t="shared" si="124"/>
        <v>10</v>
      </c>
    </row>
    <row r="391" spans="1:41" ht="20.45" customHeight="1">
      <c r="A391" s="200" t="s">
        <v>1579</v>
      </c>
      <c r="B391" s="91">
        <v>13</v>
      </c>
      <c r="C391" s="218">
        <v>9373840</v>
      </c>
      <c r="D391" s="219"/>
      <c r="E391" s="219"/>
      <c r="F391" s="216" t="s">
        <v>1580</v>
      </c>
      <c r="G391" s="220" t="s">
        <v>1581</v>
      </c>
      <c r="H391" s="220"/>
      <c r="I391" s="91">
        <v>1</v>
      </c>
      <c r="J391" s="93" t="s">
        <v>184</v>
      </c>
      <c r="K391" s="93">
        <v>1</v>
      </c>
      <c r="L391" s="93" t="s">
        <v>185</v>
      </c>
      <c r="M391" s="116">
        <v>1000</v>
      </c>
      <c r="N391" s="116">
        <f>1500/9*12</f>
        <v>2000</v>
      </c>
      <c r="O391" s="116">
        <v>2533.3333333333335</v>
      </c>
      <c r="P391" s="94">
        <v>3450</v>
      </c>
      <c r="Q391" s="95">
        <v>450</v>
      </c>
      <c r="R391" s="145">
        <v>1000</v>
      </c>
      <c r="S391" s="221">
        <v>1</v>
      </c>
      <c r="T391" s="98">
        <f t="shared" si="118"/>
        <v>1000</v>
      </c>
      <c r="U391" s="148">
        <v>0</v>
      </c>
      <c r="V391" s="100">
        <f t="shared" si="119"/>
        <v>0</v>
      </c>
      <c r="W391" s="101"/>
      <c r="X391" s="102"/>
      <c r="Y391" s="103"/>
      <c r="Z391" s="103"/>
      <c r="AA391" s="148">
        <v>0</v>
      </c>
      <c r="AB391" s="100">
        <f t="shared" si="121"/>
        <v>0</v>
      </c>
      <c r="AC391" s="104"/>
      <c r="AD391" s="105"/>
      <c r="AE391" s="105"/>
      <c r="AF391" s="105"/>
      <c r="AG391" s="148">
        <v>1000</v>
      </c>
      <c r="AH391" s="100">
        <f t="shared" si="122"/>
        <v>1000</v>
      </c>
      <c r="AI391" s="106"/>
      <c r="AJ391" s="107"/>
      <c r="AK391" s="107"/>
      <c r="AL391" s="107"/>
      <c r="AM391" s="148">
        <v>0</v>
      </c>
      <c r="AN391" s="100">
        <f t="shared" si="123"/>
        <v>0</v>
      </c>
      <c r="AO391" s="108">
        <f t="shared" si="124"/>
        <v>1000</v>
      </c>
    </row>
    <row r="392" spans="1:41" ht="20.45" customHeight="1">
      <c r="A392" s="200" t="s">
        <v>1582</v>
      </c>
      <c r="B392" s="91">
        <v>14</v>
      </c>
      <c r="C392" s="218">
        <v>9373855</v>
      </c>
      <c r="D392" s="219"/>
      <c r="E392" s="219"/>
      <c r="F392" s="216" t="s">
        <v>1583</v>
      </c>
      <c r="G392" s="222" t="s">
        <v>1584</v>
      </c>
      <c r="H392" s="220"/>
      <c r="I392" s="91">
        <v>1</v>
      </c>
      <c r="J392" s="93" t="s">
        <v>184</v>
      </c>
      <c r="K392" s="93">
        <v>50</v>
      </c>
      <c r="L392" s="93" t="s">
        <v>185</v>
      </c>
      <c r="M392" s="116">
        <v>10</v>
      </c>
      <c r="N392" s="116">
        <f>52*12/9</f>
        <v>69.333333333333329</v>
      </c>
      <c r="O392" s="116">
        <v>53.333333333333336</v>
      </c>
      <c r="P392" s="94">
        <v>40</v>
      </c>
      <c r="Q392" s="95">
        <v>40</v>
      </c>
      <c r="R392" s="112">
        <v>120</v>
      </c>
      <c r="S392" s="221">
        <v>56</v>
      </c>
      <c r="T392" s="98">
        <f t="shared" si="118"/>
        <v>6720</v>
      </c>
      <c r="U392" s="148"/>
      <c r="V392" s="100">
        <f t="shared" si="119"/>
        <v>0</v>
      </c>
      <c r="W392" s="101"/>
      <c r="X392" s="102"/>
      <c r="Y392" s="103"/>
      <c r="Z392" s="103"/>
      <c r="AA392" s="148">
        <v>0</v>
      </c>
      <c r="AB392" s="100">
        <f t="shared" si="121"/>
        <v>0</v>
      </c>
      <c r="AC392" s="104"/>
      <c r="AD392" s="105"/>
      <c r="AE392" s="105"/>
      <c r="AF392" s="105"/>
      <c r="AG392" s="148">
        <v>60</v>
      </c>
      <c r="AH392" s="100">
        <f t="shared" si="122"/>
        <v>3360</v>
      </c>
      <c r="AI392" s="106">
        <v>60</v>
      </c>
      <c r="AJ392" s="107" t="s">
        <v>1585</v>
      </c>
      <c r="AK392" s="107">
        <v>56</v>
      </c>
      <c r="AL392" s="107">
        <f>AK392*AI392</f>
        <v>3360</v>
      </c>
      <c r="AM392" s="148">
        <v>60</v>
      </c>
      <c r="AN392" s="100">
        <f t="shared" si="123"/>
        <v>3360</v>
      </c>
      <c r="AO392" s="108">
        <f t="shared" si="124"/>
        <v>120</v>
      </c>
    </row>
    <row r="393" spans="1:41" ht="20.45" customHeight="1">
      <c r="A393" s="200" t="s">
        <v>1586</v>
      </c>
      <c r="B393" s="91">
        <v>15</v>
      </c>
      <c r="C393" s="201">
        <v>9375658</v>
      </c>
      <c r="D393" s="202"/>
      <c r="E393" s="202"/>
      <c r="F393" s="216" t="s">
        <v>1587</v>
      </c>
      <c r="G393" s="109" t="s">
        <v>1588</v>
      </c>
      <c r="H393" s="109"/>
      <c r="I393" s="91">
        <v>1</v>
      </c>
      <c r="J393" s="174" t="s">
        <v>184</v>
      </c>
      <c r="K393" s="175">
        <v>100</v>
      </c>
      <c r="L393" s="175" t="s">
        <v>185</v>
      </c>
      <c r="M393" s="116">
        <v>10</v>
      </c>
      <c r="N393" s="116">
        <f>26/9*12</f>
        <v>34.666666666666664</v>
      </c>
      <c r="O393" s="116">
        <v>26.666666666666668</v>
      </c>
      <c r="P393" s="94">
        <v>30</v>
      </c>
      <c r="Q393" s="95">
        <v>0</v>
      </c>
      <c r="R393" s="112">
        <v>0</v>
      </c>
      <c r="S393" s="97">
        <v>85</v>
      </c>
      <c r="T393" s="98">
        <f t="shared" si="118"/>
        <v>0</v>
      </c>
      <c r="U393" s="99">
        <v>0</v>
      </c>
      <c r="V393" s="100">
        <f t="shared" si="119"/>
        <v>0</v>
      </c>
      <c r="W393" s="101"/>
      <c r="X393" s="102"/>
      <c r="Y393" s="103"/>
      <c r="Z393" s="103"/>
      <c r="AA393" s="99">
        <v>0</v>
      </c>
      <c r="AB393" s="100">
        <f t="shared" si="121"/>
        <v>0</v>
      </c>
      <c r="AC393" s="104"/>
      <c r="AD393" s="105"/>
      <c r="AE393" s="105"/>
      <c r="AF393" s="105"/>
      <c r="AG393" s="99">
        <v>0</v>
      </c>
      <c r="AH393" s="100">
        <f t="shared" si="122"/>
        <v>0</v>
      </c>
      <c r="AI393" s="106"/>
      <c r="AJ393" s="107"/>
      <c r="AK393" s="107"/>
      <c r="AL393" s="107"/>
      <c r="AM393" s="99">
        <v>0</v>
      </c>
      <c r="AN393" s="100">
        <f t="shared" si="123"/>
        <v>0</v>
      </c>
      <c r="AO393" s="108">
        <f t="shared" si="124"/>
        <v>0</v>
      </c>
    </row>
    <row r="394" spans="1:41" ht="20.45" customHeight="1">
      <c r="A394" s="200" t="s">
        <v>1589</v>
      </c>
      <c r="B394" s="91">
        <v>16</v>
      </c>
      <c r="C394" s="201">
        <v>9378976</v>
      </c>
      <c r="D394" s="202"/>
      <c r="E394" s="202"/>
      <c r="F394" s="216" t="s">
        <v>1590</v>
      </c>
      <c r="G394" s="217" t="s">
        <v>1591</v>
      </c>
      <c r="H394" s="109"/>
      <c r="I394" s="91">
        <v>1</v>
      </c>
      <c r="J394" s="92" t="s">
        <v>184</v>
      </c>
      <c r="K394" s="93">
        <v>50</v>
      </c>
      <c r="L394" s="93" t="s">
        <v>185</v>
      </c>
      <c r="M394" s="116">
        <f>285/50</f>
        <v>5.7</v>
      </c>
      <c r="N394" s="116">
        <v>0</v>
      </c>
      <c r="O394" s="116">
        <v>13.333333333333334</v>
      </c>
      <c r="P394" s="94">
        <v>17</v>
      </c>
      <c r="Q394" s="95">
        <v>17</v>
      </c>
      <c r="R394" s="112">
        <v>50</v>
      </c>
      <c r="S394" s="97">
        <v>60</v>
      </c>
      <c r="T394" s="98">
        <f t="shared" si="118"/>
        <v>3000</v>
      </c>
      <c r="U394" s="99">
        <v>0</v>
      </c>
      <c r="V394" s="100">
        <f t="shared" si="119"/>
        <v>0</v>
      </c>
      <c r="W394" s="101"/>
      <c r="X394" s="102"/>
      <c r="Y394" s="103"/>
      <c r="Z394" s="103"/>
      <c r="AA394" s="99">
        <v>0</v>
      </c>
      <c r="AB394" s="100">
        <f t="shared" si="121"/>
        <v>0</v>
      </c>
      <c r="AC394" s="104"/>
      <c r="AD394" s="105"/>
      <c r="AE394" s="105"/>
      <c r="AF394" s="105"/>
      <c r="AG394" s="99">
        <v>20</v>
      </c>
      <c r="AH394" s="100">
        <f t="shared" si="122"/>
        <v>1200</v>
      </c>
      <c r="AI394" s="106"/>
      <c r="AJ394" s="107"/>
      <c r="AK394" s="107"/>
      <c r="AL394" s="107"/>
      <c r="AM394" s="99">
        <v>30</v>
      </c>
      <c r="AN394" s="100">
        <f t="shared" si="123"/>
        <v>1800</v>
      </c>
      <c r="AO394" s="108">
        <f t="shared" si="124"/>
        <v>50</v>
      </c>
    </row>
    <row r="395" spans="1:41" ht="20.45" customHeight="1">
      <c r="A395" s="200" t="s">
        <v>1592</v>
      </c>
      <c r="B395" s="91">
        <v>17</v>
      </c>
      <c r="C395" s="201">
        <v>9376776</v>
      </c>
      <c r="D395" s="202"/>
      <c r="E395" s="202"/>
      <c r="F395" s="216" t="s">
        <v>1593</v>
      </c>
      <c r="G395" s="217" t="s">
        <v>1594</v>
      </c>
      <c r="H395" s="109"/>
      <c r="I395" s="91">
        <v>1</v>
      </c>
      <c r="J395" s="92" t="s">
        <v>184</v>
      </c>
      <c r="K395" s="93">
        <v>1</v>
      </c>
      <c r="L395" s="93" t="s">
        <v>185</v>
      </c>
      <c r="M395" s="116">
        <f>5100*12/10</f>
        <v>6120</v>
      </c>
      <c r="N395" s="116">
        <f>3120/9*12</f>
        <v>4160</v>
      </c>
      <c r="O395" s="116">
        <v>6000</v>
      </c>
      <c r="P395" s="94">
        <v>6100</v>
      </c>
      <c r="Q395" s="95">
        <v>1100</v>
      </c>
      <c r="R395" s="112">
        <v>6000</v>
      </c>
      <c r="S395" s="97">
        <v>1.83</v>
      </c>
      <c r="T395" s="98">
        <f t="shared" si="118"/>
        <v>10980</v>
      </c>
      <c r="U395" s="99">
        <v>0</v>
      </c>
      <c r="V395" s="100">
        <f t="shared" si="119"/>
        <v>0</v>
      </c>
      <c r="W395" s="101"/>
      <c r="X395" s="102"/>
      <c r="Y395" s="103"/>
      <c r="Z395" s="103"/>
      <c r="AA395" s="99">
        <v>3000</v>
      </c>
      <c r="AB395" s="100">
        <f t="shared" si="121"/>
        <v>5490</v>
      </c>
      <c r="AC395" s="104">
        <v>100</v>
      </c>
      <c r="AD395" s="105" t="s">
        <v>1595</v>
      </c>
      <c r="AE395" s="105">
        <v>55</v>
      </c>
      <c r="AF395" s="105">
        <f t="shared" ref="AF395:AF400" si="126">AE395*AC395</f>
        <v>5500</v>
      </c>
      <c r="AG395" s="99">
        <v>0</v>
      </c>
      <c r="AH395" s="100">
        <f t="shared" si="122"/>
        <v>0</v>
      </c>
      <c r="AI395" s="106"/>
      <c r="AJ395" s="107"/>
      <c r="AK395" s="107"/>
      <c r="AL395" s="107"/>
      <c r="AM395" s="99">
        <v>3000</v>
      </c>
      <c r="AN395" s="100">
        <f t="shared" si="123"/>
        <v>5490</v>
      </c>
      <c r="AO395" s="108">
        <f t="shared" si="124"/>
        <v>6000</v>
      </c>
    </row>
    <row r="396" spans="1:41" ht="20.45" customHeight="1">
      <c r="A396" s="200" t="s">
        <v>1596</v>
      </c>
      <c r="B396" s="91">
        <v>18</v>
      </c>
      <c r="C396" s="201">
        <v>9378982</v>
      </c>
      <c r="D396" s="202"/>
      <c r="E396" s="202"/>
      <c r="F396" s="216" t="s">
        <v>1597</v>
      </c>
      <c r="G396" s="217" t="s">
        <v>1598</v>
      </c>
      <c r="H396" s="109"/>
      <c r="I396" s="91">
        <v>1</v>
      </c>
      <c r="J396" s="92" t="s">
        <v>184</v>
      </c>
      <c r="K396" s="93">
        <v>1</v>
      </c>
      <c r="L396" s="93" t="s">
        <v>185</v>
      </c>
      <c r="M396" s="116">
        <v>2000</v>
      </c>
      <c r="N396" s="116">
        <f>1600/9*12</f>
        <v>2133.333333333333</v>
      </c>
      <c r="O396" s="116">
        <v>1333.3333333333333</v>
      </c>
      <c r="P396" s="94">
        <v>1400</v>
      </c>
      <c r="Q396" s="95">
        <v>600</v>
      </c>
      <c r="R396" s="112">
        <v>6800</v>
      </c>
      <c r="S396" s="97">
        <v>1.2</v>
      </c>
      <c r="T396" s="98">
        <f t="shared" si="118"/>
        <v>8160</v>
      </c>
      <c r="U396" s="99">
        <v>0</v>
      </c>
      <c r="V396" s="100">
        <f t="shared" si="119"/>
        <v>0</v>
      </c>
      <c r="W396" s="101"/>
      <c r="X396" s="102"/>
      <c r="Y396" s="103"/>
      <c r="Z396" s="103"/>
      <c r="AA396" s="99">
        <v>2800</v>
      </c>
      <c r="AB396" s="100">
        <f t="shared" si="121"/>
        <v>3360</v>
      </c>
      <c r="AC396" s="104">
        <f>(16+40)*50</f>
        <v>2800</v>
      </c>
      <c r="AD396" s="105" t="s">
        <v>1585</v>
      </c>
      <c r="AE396" s="105">
        <f>60/50</f>
        <v>1.2</v>
      </c>
      <c r="AF396" s="105">
        <f t="shared" si="126"/>
        <v>3360</v>
      </c>
      <c r="AG396" s="99">
        <v>2000</v>
      </c>
      <c r="AH396" s="100">
        <f t="shared" si="122"/>
        <v>2400</v>
      </c>
      <c r="AI396" s="106"/>
      <c r="AJ396" s="107"/>
      <c r="AK396" s="107"/>
      <c r="AL396" s="107"/>
      <c r="AM396" s="99">
        <v>2000</v>
      </c>
      <c r="AN396" s="100">
        <f t="shared" si="123"/>
        <v>2400</v>
      </c>
      <c r="AO396" s="108">
        <f t="shared" si="124"/>
        <v>6800</v>
      </c>
    </row>
    <row r="397" spans="1:41" ht="20.45" customHeight="1">
      <c r="A397" s="200" t="s">
        <v>1599</v>
      </c>
      <c r="B397" s="91">
        <v>19</v>
      </c>
      <c r="C397" s="201">
        <v>9093327</v>
      </c>
      <c r="D397" s="202"/>
      <c r="E397" s="202"/>
      <c r="F397" s="216" t="s">
        <v>1600</v>
      </c>
      <c r="G397" s="217" t="s">
        <v>1601</v>
      </c>
      <c r="H397" s="215" t="s">
        <v>1540</v>
      </c>
      <c r="I397" s="91">
        <v>1</v>
      </c>
      <c r="J397" s="92" t="s">
        <v>94</v>
      </c>
      <c r="K397" s="93">
        <v>10</v>
      </c>
      <c r="L397" s="93" t="s">
        <v>95</v>
      </c>
      <c r="M397" s="116">
        <v>190</v>
      </c>
      <c r="N397" s="116">
        <f>282/9*12</f>
        <v>376</v>
      </c>
      <c r="O397" s="116">
        <v>193.33333333333334</v>
      </c>
      <c r="P397" s="94">
        <v>190</v>
      </c>
      <c r="Q397" s="95">
        <v>190</v>
      </c>
      <c r="R397" s="112">
        <v>500</v>
      </c>
      <c r="S397" s="97">
        <v>25</v>
      </c>
      <c r="T397" s="98">
        <f t="shared" si="118"/>
        <v>12500</v>
      </c>
      <c r="U397" s="99">
        <v>0</v>
      </c>
      <c r="V397" s="100">
        <f t="shared" si="119"/>
        <v>0</v>
      </c>
      <c r="W397" s="101"/>
      <c r="X397" s="102"/>
      <c r="Y397" s="103"/>
      <c r="Z397" s="103"/>
      <c r="AA397" s="99">
        <v>300</v>
      </c>
      <c r="AB397" s="100">
        <f t="shared" si="121"/>
        <v>7500</v>
      </c>
      <c r="AC397" s="104">
        <v>300</v>
      </c>
      <c r="AD397" s="105" t="s">
        <v>1545</v>
      </c>
      <c r="AE397" s="105">
        <v>24.5</v>
      </c>
      <c r="AF397" s="105">
        <f t="shared" si="126"/>
        <v>7350</v>
      </c>
      <c r="AG397" s="99">
        <v>100</v>
      </c>
      <c r="AH397" s="100">
        <f t="shared" si="122"/>
        <v>2500</v>
      </c>
      <c r="AI397" s="106"/>
      <c r="AJ397" s="107"/>
      <c r="AK397" s="107"/>
      <c r="AL397" s="107"/>
      <c r="AM397" s="99">
        <v>100</v>
      </c>
      <c r="AN397" s="100">
        <f t="shared" si="123"/>
        <v>2500</v>
      </c>
      <c r="AO397" s="108">
        <f t="shared" si="124"/>
        <v>500</v>
      </c>
    </row>
    <row r="398" spans="1:41" ht="20.45" customHeight="1">
      <c r="A398" s="200" t="s">
        <v>1602</v>
      </c>
      <c r="B398" s="91">
        <v>20</v>
      </c>
      <c r="C398" s="201">
        <v>9097371</v>
      </c>
      <c r="D398" s="202"/>
      <c r="E398" s="202"/>
      <c r="F398" s="205" t="s">
        <v>1603</v>
      </c>
      <c r="G398" s="214" t="s">
        <v>1604</v>
      </c>
      <c r="H398" s="109"/>
      <c r="I398" s="91">
        <v>1</v>
      </c>
      <c r="J398" s="118" t="s">
        <v>83</v>
      </c>
      <c r="K398" s="91">
        <v>20</v>
      </c>
      <c r="L398" s="115" t="s">
        <v>84</v>
      </c>
      <c r="M398" s="116">
        <f>25000/20*12/10</f>
        <v>1500</v>
      </c>
      <c r="N398" s="116">
        <f>1350/9*12</f>
        <v>1800</v>
      </c>
      <c r="O398" s="116">
        <v>1960</v>
      </c>
      <c r="P398" s="94">
        <v>2330</v>
      </c>
      <c r="Q398" s="95">
        <v>330</v>
      </c>
      <c r="R398" s="112">
        <v>4000</v>
      </c>
      <c r="S398" s="150">
        <v>13</v>
      </c>
      <c r="T398" s="98">
        <f t="shared" si="118"/>
        <v>52000</v>
      </c>
      <c r="U398" s="99">
        <v>1000</v>
      </c>
      <c r="V398" s="100">
        <f t="shared" si="119"/>
        <v>13000</v>
      </c>
      <c r="W398" s="101">
        <f>2*500</f>
        <v>1000</v>
      </c>
      <c r="X398" s="102" t="s">
        <v>261</v>
      </c>
      <c r="Y398" s="103">
        <v>12</v>
      </c>
      <c r="Z398" s="103">
        <f>Y398*W398</f>
        <v>12000</v>
      </c>
      <c r="AA398" s="99">
        <v>1000</v>
      </c>
      <c r="AB398" s="100">
        <f t="shared" si="121"/>
        <v>13000</v>
      </c>
      <c r="AC398" s="104">
        <f>400+600</f>
        <v>1000</v>
      </c>
      <c r="AD398" s="105" t="s">
        <v>261</v>
      </c>
      <c r="AE398" s="105">
        <v>12</v>
      </c>
      <c r="AF398" s="105">
        <f t="shared" si="126"/>
        <v>12000</v>
      </c>
      <c r="AG398" s="99">
        <v>1000</v>
      </c>
      <c r="AH398" s="100">
        <f t="shared" si="122"/>
        <v>13000</v>
      </c>
      <c r="AI398" s="106">
        <v>1000</v>
      </c>
      <c r="AJ398" s="107" t="s">
        <v>261</v>
      </c>
      <c r="AK398" s="107">
        <v>12</v>
      </c>
      <c r="AL398" s="107">
        <f>AK398*AI398</f>
        <v>12000</v>
      </c>
      <c r="AM398" s="99">
        <v>1000</v>
      </c>
      <c r="AN398" s="100">
        <f t="shared" si="123"/>
        <v>13000</v>
      </c>
      <c r="AO398" s="108">
        <f t="shared" si="124"/>
        <v>4000</v>
      </c>
    </row>
    <row r="399" spans="1:41" ht="20.45" customHeight="1">
      <c r="A399" s="200" t="s">
        <v>1605</v>
      </c>
      <c r="B399" s="91">
        <v>21</v>
      </c>
      <c r="C399" s="218">
        <v>9093857</v>
      </c>
      <c r="D399" s="219"/>
      <c r="E399" s="219"/>
      <c r="F399" s="216" t="s">
        <v>1606</v>
      </c>
      <c r="G399" s="220" t="s">
        <v>1607</v>
      </c>
      <c r="H399" s="220"/>
      <c r="I399" s="91">
        <v>1</v>
      </c>
      <c r="J399" s="93" t="s">
        <v>184</v>
      </c>
      <c r="K399" s="93">
        <v>1</v>
      </c>
      <c r="L399" s="93" t="s">
        <v>185</v>
      </c>
      <c r="M399" s="116">
        <f>2300*12/10</f>
        <v>2760</v>
      </c>
      <c r="N399" s="116">
        <v>4000</v>
      </c>
      <c r="O399" s="116">
        <v>4000</v>
      </c>
      <c r="P399" s="94">
        <v>4000</v>
      </c>
      <c r="Q399" s="95">
        <v>2000</v>
      </c>
      <c r="R399" s="96">
        <f>P399-Q399</f>
        <v>2000</v>
      </c>
      <c r="S399" s="221">
        <v>1</v>
      </c>
      <c r="T399" s="98">
        <f t="shared" si="118"/>
        <v>2000</v>
      </c>
      <c r="U399" s="148">
        <v>0</v>
      </c>
      <c r="V399" s="100">
        <f t="shared" si="119"/>
        <v>0</v>
      </c>
      <c r="W399" s="101"/>
      <c r="X399" s="102"/>
      <c r="Y399" s="103"/>
      <c r="Z399" s="103"/>
      <c r="AA399" s="148">
        <v>2000</v>
      </c>
      <c r="AB399" s="100">
        <f t="shared" si="121"/>
        <v>2000</v>
      </c>
      <c r="AC399" s="104">
        <f>40*50</f>
        <v>2000</v>
      </c>
      <c r="AD399" s="105" t="s">
        <v>1585</v>
      </c>
      <c r="AE399" s="105">
        <f>38/50</f>
        <v>0.76</v>
      </c>
      <c r="AF399" s="105">
        <f t="shared" si="126"/>
        <v>1520</v>
      </c>
      <c r="AG399" s="148">
        <v>0</v>
      </c>
      <c r="AH399" s="100">
        <f t="shared" si="122"/>
        <v>0</v>
      </c>
      <c r="AI399" s="106"/>
      <c r="AJ399" s="107"/>
      <c r="AK399" s="107"/>
      <c r="AL399" s="107"/>
      <c r="AM399" s="148">
        <v>0</v>
      </c>
      <c r="AN399" s="100">
        <f t="shared" si="123"/>
        <v>0</v>
      </c>
      <c r="AO399" s="108">
        <f t="shared" si="124"/>
        <v>2000</v>
      </c>
    </row>
    <row r="400" spans="1:41" ht="20.45" customHeight="1">
      <c r="A400" s="200" t="s">
        <v>1608</v>
      </c>
      <c r="B400" s="91">
        <v>22</v>
      </c>
      <c r="C400" s="201">
        <v>9398390</v>
      </c>
      <c r="D400" s="202"/>
      <c r="E400" s="202"/>
      <c r="F400" s="205" t="s">
        <v>1609</v>
      </c>
      <c r="G400" s="223" t="s">
        <v>1610</v>
      </c>
      <c r="H400" s="109"/>
      <c r="I400" s="91">
        <v>1</v>
      </c>
      <c r="J400" s="174" t="s">
        <v>184</v>
      </c>
      <c r="K400" s="93">
        <v>100</v>
      </c>
      <c r="L400" s="175" t="s">
        <v>185</v>
      </c>
      <c r="M400" s="116">
        <v>5</v>
      </c>
      <c r="N400" s="116">
        <f>37.2/9*12</f>
        <v>49.600000000000009</v>
      </c>
      <c r="O400" s="116">
        <v>29.333333333333332</v>
      </c>
      <c r="P400" s="94">
        <v>50</v>
      </c>
      <c r="Q400" s="95">
        <v>0</v>
      </c>
      <c r="R400" s="112">
        <v>120</v>
      </c>
      <c r="S400" s="110">
        <v>220</v>
      </c>
      <c r="T400" s="98">
        <f t="shared" si="118"/>
        <v>26400</v>
      </c>
      <c r="U400" s="99">
        <v>30</v>
      </c>
      <c r="V400" s="100">
        <f t="shared" si="119"/>
        <v>6600</v>
      </c>
      <c r="W400" s="101">
        <v>30</v>
      </c>
      <c r="X400" s="102" t="s">
        <v>1541</v>
      </c>
      <c r="Y400" s="103">
        <v>220</v>
      </c>
      <c r="Z400" s="103">
        <f>Y400*W400</f>
        <v>6600</v>
      </c>
      <c r="AA400" s="99">
        <v>30</v>
      </c>
      <c r="AB400" s="100">
        <f t="shared" si="121"/>
        <v>6600</v>
      </c>
      <c r="AC400" s="104">
        <v>30</v>
      </c>
      <c r="AD400" s="105" t="s">
        <v>1541</v>
      </c>
      <c r="AE400" s="105">
        <v>220</v>
      </c>
      <c r="AF400" s="105">
        <f t="shared" si="126"/>
        <v>6600</v>
      </c>
      <c r="AG400" s="99">
        <v>30</v>
      </c>
      <c r="AH400" s="100">
        <f t="shared" si="122"/>
        <v>6600</v>
      </c>
      <c r="AI400" s="106"/>
      <c r="AJ400" s="107"/>
      <c r="AK400" s="107"/>
      <c r="AL400" s="107"/>
      <c r="AM400" s="99">
        <v>30</v>
      </c>
      <c r="AN400" s="100">
        <f t="shared" si="123"/>
        <v>6600</v>
      </c>
      <c r="AO400" s="108">
        <f t="shared" si="124"/>
        <v>120</v>
      </c>
    </row>
    <row r="401" spans="1:41" s="224" customFormat="1" ht="20.45" customHeight="1">
      <c r="A401" s="200" t="s">
        <v>1611</v>
      </c>
      <c r="B401" s="91">
        <v>23</v>
      </c>
      <c r="C401" s="201">
        <v>9393186</v>
      </c>
      <c r="D401" s="202"/>
      <c r="E401" s="202"/>
      <c r="F401" s="205" t="s">
        <v>1612</v>
      </c>
      <c r="G401" s="217" t="s">
        <v>1613</v>
      </c>
      <c r="H401" s="109"/>
      <c r="I401" s="91">
        <v>1</v>
      </c>
      <c r="J401" s="92" t="s">
        <v>184</v>
      </c>
      <c r="K401" s="93">
        <v>1</v>
      </c>
      <c r="L401" s="93" t="s">
        <v>185</v>
      </c>
      <c r="M401" s="116">
        <v>4285</v>
      </c>
      <c r="N401" s="116">
        <f>6500/9*12</f>
        <v>8666.6666666666661</v>
      </c>
      <c r="O401" s="116">
        <v>15600</v>
      </c>
      <c r="P401" s="94">
        <v>18000</v>
      </c>
      <c r="Q401" s="95">
        <v>0</v>
      </c>
      <c r="R401" s="112">
        <v>64000</v>
      </c>
      <c r="S401" s="125">
        <v>1.2</v>
      </c>
      <c r="T401" s="98">
        <f t="shared" si="118"/>
        <v>76800</v>
      </c>
      <c r="U401" s="99">
        <v>5000</v>
      </c>
      <c r="V401" s="100">
        <f t="shared" si="119"/>
        <v>6000</v>
      </c>
      <c r="W401" s="101">
        <v>5000</v>
      </c>
      <c r="X401" s="102" t="s">
        <v>1558</v>
      </c>
      <c r="Y401" s="103">
        <v>1.2</v>
      </c>
      <c r="Z401" s="103">
        <f>Y401*W401</f>
        <v>6000</v>
      </c>
      <c r="AA401" s="99">
        <v>39000</v>
      </c>
      <c r="AB401" s="100">
        <f t="shared" si="121"/>
        <v>46800</v>
      </c>
      <c r="AC401" s="104">
        <f>4000+35000</f>
        <v>39000</v>
      </c>
      <c r="AD401" s="105" t="s">
        <v>1558</v>
      </c>
      <c r="AE401" s="105">
        <v>1.2</v>
      </c>
      <c r="AF401" s="105">
        <f>4800+35000</f>
        <v>39800</v>
      </c>
      <c r="AG401" s="99">
        <v>10000</v>
      </c>
      <c r="AH401" s="100">
        <f t="shared" si="122"/>
        <v>12000</v>
      </c>
      <c r="AI401" s="106"/>
      <c r="AJ401" s="107"/>
      <c r="AK401" s="107"/>
      <c r="AL401" s="107"/>
      <c r="AM401" s="99">
        <v>10000</v>
      </c>
      <c r="AN401" s="100">
        <f t="shared" si="123"/>
        <v>12000</v>
      </c>
      <c r="AO401" s="108">
        <f t="shared" si="124"/>
        <v>64000</v>
      </c>
    </row>
    <row r="402" spans="1:41" ht="20.45" customHeight="1">
      <c r="A402" s="200" t="s">
        <v>1614</v>
      </c>
      <c r="B402" s="91">
        <v>24</v>
      </c>
      <c r="C402" s="201">
        <v>9382951</v>
      </c>
      <c r="D402" s="202"/>
      <c r="E402" s="202"/>
      <c r="F402" s="216" t="s">
        <v>1615</v>
      </c>
      <c r="G402" s="223" t="s">
        <v>1616</v>
      </c>
      <c r="H402" s="109"/>
      <c r="I402" s="91">
        <v>1</v>
      </c>
      <c r="J402" s="92" t="s">
        <v>94</v>
      </c>
      <c r="K402" s="93">
        <v>10</v>
      </c>
      <c r="L402" s="93" t="s">
        <v>95</v>
      </c>
      <c r="M402" s="116">
        <v>195</v>
      </c>
      <c r="N402" s="116">
        <f>90*12/9</f>
        <v>120</v>
      </c>
      <c r="O402" s="116">
        <v>438.66666666666669</v>
      </c>
      <c r="P402" s="94">
        <v>440</v>
      </c>
      <c r="Q402" s="95">
        <v>40</v>
      </c>
      <c r="R402" s="112">
        <v>500</v>
      </c>
      <c r="S402" s="97">
        <v>49</v>
      </c>
      <c r="T402" s="98">
        <f t="shared" si="118"/>
        <v>24500</v>
      </c>
      <c r="U402" s="99">
        <v>200</v>
      </c>
      <c r="V402" s="100">
        <f t="shared" si="119"/>
        <v>9800</v>
      </c>
      <c r="W402" s="101">
        <f>2*100</f>
        <v>200</v>
      </c>
      <c r="X402" s="102" t="s">
        <v>1545</v>
      </c>
      <c r="Y402" s="103">
        <v>49</v>
      </c>
      <c r="Z402" s="103">
        <f>Y402*W402</f>
        <v>9800</v>
      </c>
      <c r="AA402" s="99">
        <v>100</v>
      </c>
      <c r="AB402" s="100">
        <f t="shared" si="121"/>
        <v>4900</v>
      </c>
      <c r="AC402" s="104">
        <v>100</v>
      </c>
      <c r="AD402" s="105" t="s">
        <v>1545</v>
      </c>
      <c r="AE402" s="105">
        <v>49</v>
      </c>
      <c r="AF402" s="105">
        <f>AE402*AC402</f>
        <v>4900</v>
      </c>
      <c r="AG402" s="99">
        <v>100</v>
      </c>
      <c r="AH402" s="100">
        <f t="shared" si="122"/>
        <v>4900</v>
      </c>
      <c r="AI402" s="106">
        <v>100</v>
      </c>
      <c r="AJ402" s="107" t="s">
        <v>1545</v>
      </c>
      <c r="AK402" s="107">
        <v>49</v>
      </c>
      <c r="AL402" s="107">
        <f t="shared" ref="AL402:AL409" si="127">AK402*AI402</f>
        <v>4900</v>
      </c>
      <c r="AM402" s="99">
        <v>100</v>
      </c>
      <c r="AN402" s="100">
        <f t="shared" si="123"/>
        <v>4900</v>
      </c>
      <c r="AO402" s="108">
        <f t="shared" si="124"/>
        <v>500</v>
      </c>
    </row>
    <row r="403" spans="1:41" ht="20.45" customHeight="1">
      <c r="A403" s="200" t="s">
        <v>1617</v>
      </c>
      <c r="B403" s="91">
        <v>25</v>
      </c>
      <c r="C403" s="218">
        <v>9375670</v>
      </c>
      <c r="D403" s="219"/>
      <c r="E403" s="219"/>
      <c r="F403" s="216" t="s">
        <v>1618</v>
      </c>
      <c r="G403" s="220" t="s">
        <v>1619</v>
      </c>
      <c r="H403" s="220"/>
      <c r="I403" s="91">
        <v>1</v>
      </c>
      <c r="J403" s="93" t="s">
        <v>184</v>
      </c>
      <c r="K403" s="93">
        <v>1</v>
      </c>
      <c r="L403" s="93" t="s">
        <v>185</v>
      </c>
      <c r="M403" s="116">
        <f>1500</f>
        <v>1500</v>
      </c>
      <c r="N403" s="116">
        <f>600*12/9</f>
        <v>800</v>
      </c>
      <c r="O403" s="116">
        <v>2666.6666666666665</v>
      </c>
      <c r="P403" s="94">
        <v>3300</v>
      </c>
      <c r="Q403" s="95">
        <v>300</v>
      </c>
      <c r="R403" s="145">
        <v>2000</v>
      </c>
      <c r="S403" s="221">
        <v>1.26</v>
      </c>
      <c r="T403" s="98">
        <f t="shared" si="118"/>
        <v>2520</v>
      </c>
      <c r="U403" s="148">
        <v>0</v>
      </c>
      <c r="V403" s="100">
        <f t="shared" si="119"/>
        <v>0</v>
      </c>
      <c r="W403" s="101"/>
      <c r="X403" s="102"/>
      <c r="Y403" s="103"/>
      <c r="Z403" s="103"/>
      <c r="AA403" s="148">
        <v>0</v>
      </c>
      <c r="AB403" s="100">
        <f t="shared" si="121"/>
        <v>0</v>
      </c>
      <c r="AC403" s="104"/>
      <c r="AD403" s="105"/>
      <c r="AE403" s="105"/>
      <c r="AF403" s="105"/>
      <c r="AG403" s="148">
        <v>1000</v>
      </c>
      <c r="AH403" s="100">
        <f t="shared" si="122"/>
        <v>1260</v>
      </c>
      <c r="AI403" s="106"/>
      <c r="AJ403" s="107"/>
      <c r="AK403" s="107"/>
      <c r="AL403" s="107">
        <f t="shared" si="127"/>
        <v>0</v>
      </c>
      <c r="AM403" s="148">
        <v>1000</v>
      </c>
      <c r="AN403" s="100">
        <f t="shared" si="123"/>
        <v>1260</v>
      </c>
      <c r="AO403" s="108">
        <f t="shared" si="124"/>
        <v>2000</v>
      </c>
    </row>
    <row r="404" spans="1:41" ht="20.45" customHeight="1">
      <c r="A404" s="200" t="s">
        <v>1620</v>
      </c>
      <c r="B404" s="91">
        <v>26</v>
      </c>
      <c r="C404" s="218">
        <v>9369294</v>
      </c>
      <c r="D404" s="219"/>
      <c r="E404" s="219"/>
      <c r="F404" s="216" t="s">
        <v>1621</v>
      </c>
      <c r="G404" s="225" t="s">
        <v>1622</v>
      </c>
      <c r="H404" s="226"/>
      <c r="I404" s="91">
        <v>1</v>
      </c>
      <c r="J404" s="93" t="s">
        <v>94</v>
      </c>
      <c r="K404" s="93">
        <v>1</v>
      </c>
      <c r="L404" s="93" t="s">
        <v>95</v>
      </c>
      <c r="M404" s="116">
        <v>350</v>
      </c>
      <c r="N404" s="116">
        <f>300*12/9</f>
        <v>400</v>
      </c>
      <c r="O404" s="116">
        <v>933.33333333333337</v>
      </c>
      <c r="P404" s="94">
        <v>1000</v>
      </c>
      <c r="Q404" s="95">
        <v>0</v>
      </c>
      <c r="R404" s="96">
        <f>P404-Q404</f>
        <v>1000</v>
      </c>
      <c r="S404" s="221">
        <v>25</v>
      </c>
      <c r="T404" s="98">
        <f t="shared" si="118"/>
        <v>25000</v>
      </c>
      <c r="U404" s="148">
        <v>0</v>
      </c>
      <c r="V404" s="100">
        <f t="shared" si="119"/>
        <v>0</v>
      </c>
      <c r="W404" s="101"/>
      <c r="X404" s="102"/>
      <c r="Y404" s="103"/>
      <c r="Z404" s="103"/>
      <c r="AA404" s="148">
        <v>200</v>
      </c>
      <c r="AB404" s="100">
        <f t="shared" si="121"/>
        <v>5000</v>
      </c>
      <c r="AC404" s="104">
        <v>200</v>
      </c>
      <c r="AD404" s="105" t="s">
        <v>1585</v>
      </c>
      <c r="AE404" s="105">
        <v>25</v>
      </c>
      <c r="AF404" s="105">
        <f>AE404*AC404</f>
        <v>5000</v>
      </c>
      <c r="AG404" s="148">
        <v>500</v>
      </c>
      <c r="AH404" s="100">
        <f t="shared" si="122"/>
        <v>12500</v>
      </c>
      <c r="AI404" s="106"/>
      <c r="AJ404" s="107"/>
      <c r="AK404" s="107"/>
      <c r="AL404" s="107">
        <f t="shared" si="127"/>
        <v>0</v>
      </c>
      <c r="AM404" s="148">
        <v>500</v>
      </c>
      <c r="AN404" s="100">
        <f t="shared" si="123"/>
        <v>12500</v>
      </c>
      <c r="AO404" s="108">
        <f t="shared" si="124"/>
        <v>1200</v>
      </c>
    </row>
    <row r="405" spans="1:41" ht="20.45" customHeight="1">
      <c r="A405" s="200" t="s">
        <v>1623</v>
      </c>
      <c r="B405" s="91">
        <v>27</v>
      </c>
      <c r="C405" s="201">
        <v>9369195</v>
      </c>
      <c r="D405" s="202"/>
      <c r="E405" s="202"/>
      <c r="F405" s="216" t="s">
        <v>1624</v>
      </c>
      <c r="G405" s="217" t="s">
        <v>1625</v>
      </c>
      <c r="H405" s="109"/>
      <c r="I405" s="91">
        <v>1</v>
      </c>
      <c r="J405" s="92" t="s">
        <v>94</v>
      </c>
      <c r="K405" s="93">
        <v>1</v>
      </c>
      <c r="L405" s="93" t="s">
        <v>95</v>
      </c>
      <c r="M405" s="116">
        <v>378</v>
      </c>
      <c r="N405" s="116">
        <f>1182*12/9</f>
        <v>1576</v>
      </c>
      <c r="O405" s="116">
        <v>777.33333333333337</v>
      </c>
      <c r="P405" s="94">
        <v>1370</v>
      </c>
      <c r="Q405" s="95">
        <v>370</v>
      </c>
      <c r="R405" s="112">
        <v>1500</v>
      </c>
      <c r="S405" s="97">
        <v>28</v>
      </c>
      <c r="T405" s="98">
        <f t="shared" si="118"/>
        <v>42000</v>
      </c>
      <c r="U405" s="99">
        <v>0</v>
      </c>
      <c r="V405" s="100">
        <f t="shared" si="119"/>
        <v>0</v>
      </c>
      <c r="W405" s="101"/>
      <c r="X405" s="102"/>
      <c r="Y405" s="103"/>
      <c r="Z405" s="103"/>
      <c r="AA405" s="99">
        <v>500</v>
      </c>
      <c r="AB405" s="100">
        <f t="shared" si="121"/>
        <v>14000</v>
      </c>
      <c r="AC405" s="104">
        <v>500</v>
      </c>
      <c r="AD405" s="105" t="s">
        <v>1585</v>
      </c>
      <c r="AE405" s="105">
        <v>28</v>
      </c>
      <c r="AF405" s="105">
        <f>AE405*AC405</f>
        <v>14000</v>
      </c>
      <c r="AG405" s="99">
        <v>500</v>
      </c>
      <c r="AH405" s="100">
        <f t="shared" si="122"/>
        <v>14000</v>
      </c>
      <c r="AI405" s="106"/>
      <c r="AJ405" s="107"/>
      <c r="AK405" s="107"/>
      <c r="AL405" s="107">
        <f t="shared" si="127"/>
        <v>0</v>
      </c>
      <c r="AM405" s="99">
        <v>500</v>
      </c>
      <c r="AN405" s="100">
        <f t="shared" si="123"/>
        <v>14000</v>
      </c>
      <c r="AO405" s="108">
        <f t="shared" si="124"/>
        <v>1500</v>
      </c>
    </row>
    <row r="406" spans="1:41" ht="20.45" customHeight="1">
      <c r="A406" s="200" t="s">
        <v>1626</v>
      </c>
      <c r="B406" s="91">
        <v>28</v>
      </c>
      <c r="C406" s="201">
        <v>9402977</v>
      </c>
      <c r="D406" s="202"/>
      <c r="E406" s="202"/>
      <c r="F406" s="205" t="s">
        <v>1627</v>
      </c>
      <c r="G406" s="227" t="s">
        <v>1628</v>
      </c>
      <c r="H406" s="220"/>
      <c r="I406" s="91">
        <v>1</v>
      </c>
      <c r="J406" s="93" t="s">
        <v>476</v>
      </c>
      <c r="K406" s="93">
        <v>1</v>
      </c>
      <c r="L406" s="93" t="s">
        <v>95</v>
      </c>
      <c r="M406" s="116">
        <v>0</v>
      </c>
      <c r="N406" s="116">
        <v>0</v>
      </c>
      <c r="O406" s="116">
        <v>2960</v>
      </c>
      <c r="P406" s="94">
        <v>4000</v>
      </c>
      <c r="Q406" s="95">
        <v>0</v>
      </c>
      <c r="R406" s="112">
        <v>7000</v>
      </c>
      <c r="S406" s="221">
        <v>4</v>
      </c>
      <c r="T406" s="98">
        <f t="shared" si="118"/>
        <v>28000</v>
      </c>
      <c r="U406" s="148">
        <v>2000</v>
      </c>
      <c r="V406" s="100">
        <f t="shared" si="119"/>
        <v>8000</v>
      </c>
      <c r="W406" s="101">
        <f>2*1000</f>
        <v>2000</v>
      </c>
      <c r="X406" s="102" t="s">
        <v>1558</v>
      </c>
      <c r="Y406" s="103">
        <f>75/20</f>
        <v>3.75</v>
      </c>
      <c r="Z406" s="103">
        <f>Y406*W406</f>
        <v>7500</v>
      </c>
      <c r="AA406" s="148">
        <v>1000</v>
      </c>
      <c r="AB406" s="100">
        <f t="shared" si="121"/>
        <v>4000</v>
      </c>
      <c r="AC406" s="104">
        <v>1000</v>
      </c>
      <c r="AD406" s="105" t="s">
        <v>1558</v>
      </c>
      <c r="AE406" s="105">
        <v>3.75</v>
      </c>
      <c r="AF406" s="105">
        <f>AE406*AC406</f>
        <v>3750</v>
      </c>
      <c r="AG406" s="148">
        <v>2000</v>
      </c>
      <c r="AH406" s="100">
        <f t="shared" si="122"/>
        <v>8000</v>
      </c>
      <c r="AI406" s="106">
        <f>75*20</f>
        <v>1500</v>
      </c>
      <c r="AJ406" s="107" t="s">
        <v>1558</v>
      </c>
      <c r="AK406" s="107">
        <v>3.75</v>
      </c>
      <c r="AL406" s="107">
        <f t="shared" si="127"/>
        <v>5625</v>
      </c>
      <c r="AM406" s="148">
        <v>2000</v>
      </c>
      <c r="AN406" s="100">
        <f t="shared" si="123"/>
        <v>8000</v>
      </c>
      <c r="AO406" s="108">
        <f t="shared" si="124"/>
        <v>7000</v>
      </c>
    </row>
    <row r="407" spans="1:41" ht="20.45" customHeight="1">
      <c r="A407" s="200" t="s">
        <v>1629</v>
      </c>
      <c r="B407" s="91">
        <v>29</v>
      </c>
      <c r="C407" s="201">
        <v>9372910</v>
      </c>
      <c r="D407" s="202"/>
      <c r="E407" s="202"/>
      <c r="F407" s="216" t="s">
        <v>1630</v>
      </c>
      <c r="G407" s="109" t="s">
        <v>1631</v>
      </c>
      <c r="H407" s="109"/>
      <c r="I407" s="91">
        <v>1</v>
      </c>
      <c r="J407" s="92" t="s">
        <v>94</v>
      </c>
      <c r="K407" s="93">
        <v>1</v>
      </c>
      <c r="L407" s="93" t="s">
        <v>95</v>
      </c>
      <c r="M407" s="116">
        <v>10</v>
      </c>
      <c r="N407" s="116">
        <v>0</v>
      </c>
      <c r="O407" s="116">
        <v>0</v>
      </c>
      <c r="P407" s="94">
        <v>50</v>
      </c>
      <c r="Q407" s="95">
        <v>0</v>
      </c>
      <c r="R407" s="145">
        <v>30</v>
      </c>
      <c r="S407" s="97">
        <v>28</v>
      </c>
      <c r="T407" s="98">
        <f t="shared" si="118"/>
        <v>840</v>
      </c>
      <c r="U407" s="99">
        <v>0</v>
      </c>
      <c r="V407" s="100">
        <f t="shared" si="119"/>
        <v>0</v>
      </c>
      <c r="W407" s="101"/>
      <c r="X407" s="102"/>
      <c r="Y407" s="103"/>
      <c r="Z407" s="103"/>
      <c r="AA407" s="99">
        <v>0</v>
      </c>
      <c r="AB407" s="100">
        <f t="shared" si="121"/>
        <v>0</v>
      </c>
      <c r="AC407" s="104"/>
      <c r="AD407" s="105"/>
      <c r="AE407" s="105"/>
      <c r="AF407" s="105"/>
      <c r="AG407" s="99">
        <v>30</v>
      </c>
      <c r="AH407" s="100">
        <f t="shared" si="122"/>
        <v>840</v>
      </c>
      <c r="AI407" s="106"/>
      <c r="AJ407" s="107"/>
      <c r="AK407" s="107"/>
      <c r="AL407" s="107">
        <f t="shared" si="127"/>
        <v>0</v>
      </c>
      <c r="AM407" s="99">
        <v>0</v>
      </c>
      <c r="AN407" s="100">
        <f t="shared" si="123"/>
        <v>0</v>
      </c>
      <c r="AO407" s="108">
        <f t="shared" si="124"/>
        <v>30</v>
      </c>
    </row>
    <row r="408" spans="1:41" ht="20.45" customHeight="1">
      <c r="A408" s="200" t="s">
        <v>1632</v>
      </c>
      <c r="B408" s="91">
        <v>30</v>
      </c>
      <c r="C408" s="201">
        <v>9369874</v>
      </c>
      <c r="D408" s="202"/>
      <c r="E408" s="202"/>
      <c r="F408" s="216" t="s">
        <v>1633</v>
      </c>
      <c r="G408" s="214" t="s">
        <v>1634</v>
      </c>
      <c r="H408" s="215" t="s">
        <v>1540</v>
      </c>
      <c r="I408" s="91">
        <v>1</v>
      </c>
      <c r="J408" s="92" t="s">
        <v>94</v>
      </c>
      <c r="K408" s="93">
        <v>1</v>
      </c>
      <c r="L408" s="93" t="s">
        <v>1572</v>
      </c>
      <c r="M408" s="116">
        <f>1023*12/10</f>
        <v>1227.5999999999999</v>
      </c>
      <c r="N408" s="116">
        <f>1001/9*12</f>
        <v>1334.6666666666667</v>
      </c>
      <c r="O408" s="116">
        <v>1762.6666666666667</v>
      </c>
      <c r="P408" s="94">
        <v>1810</v>
      </c>
      <c r="Q408" s="95">
        <v>510</v>
      </c>
      <c r="R408" s="112">
        <v>1900</v>
      </c>
      <c r="S408" s="110">
        <v>50</v>
      </c>
      <c r="T408" s="98">
        <f t="shared" si="118"/>
        <v>95000</v>
      </c>
      <c r="U408" s="99">
        <v>300</v>
      </c>
      <c r="V408" s="100">
        <f t="shared" si="119"/>
        <v>15000</v>
      </c>
      <c r="W408" s="101">
        <v>300</v>
      </c>
      <c r="X408" s="102" t="s">
        <v>1558</v>
      </c>
      <c r="Y408" s="103">
        <v>45</v>
      </c>
      <c r="Z408" s="103">
        <f>Y408*W408</f>
        <v>13500</v>
      </c>
      <c r="AA408" s="99">
        <v>400</v>
      </c>
      <c r="AB408" s="100">
        <f t="shared" si="121"/>
        <v>20000</v>
      </c>
      <c r="AC408" s="104">
        <f>500+400</f>
        <v>900</v>
      </c>
      <c r="AD408" s="105" t="s">
        <v>1558</v>
      </c>
      <c r="AE408" s="105">
        <v>45</v>
      </c>
      <c r="AF408" s="105">
        <f>AE408*AC408</f>
        <v>40500</v>
      </c>
      <c r="AG408" s="99">
        <v>600</v>
      </c>
      <c r="AH408" s="100">
        <f t="shared" si="122"/>
        <v>30000</v>
      </c>
      <c r="AI408" s="106"/>
      <c r="AJ408" s="107"/>
      <c r="AK408" s="107"/>
      <c r="AL408" s="107">
        <f t="shared" si="127"/>
        <v>0</v>
      </c>
      <c r="AM408" s="99">
        <v>600</v>
      </c>
      <c r="AN408" s="100">
        <f t="shared" si="123"/>
        <v>30000</v>
      </c>
      <c r="AO408" s="108">
        <f t="shared" si="124"/>
        <v>1900</v>
      </c>
    </row>
    <row r="409" spans="1:41" ht="20.45" customHeight="1">
      <c r="A409" s="200" t="s">
        <v>1635</v>
      </c>
      <c r="B409" s="91">
        <v>31</v>
      </c>
      <c r="C409" s="228">
        <v>9401939</v>
      </c>
      <c r="D409" s="229"/>
      <c r="E409" s="229"/>
      <c r="F409" s="205" t="s">
        <v>1636</v>
      </c>
      <c r="G409" s="230" t="s">
        <v>1637</v>
      </c>
      <c r="H409" s="172"/>
      <c r="I409" s="173">
        <v>1</v>
      </c>
      <c r="J409" s="174" t="s">
        <v>1638</v>
      </c>
      <c r="K409" s="175">
        <v>1</v>
      </c>
      <c r="L409" s="175" t="s">
        <v>52</v>
      </c>
      <c r="M409" s="116">
        <v>0</v>
      </c>
      <c r="N409" s="116">
        <v>0</v>
      </c>
      <c r="O409" s="116">
        <v>1916</v>
      </c>
      <c r="P409" s="94">
        <v>2400</v>
      </c>
      <c r="Q409" s="95">
        <v>140</v>
      </c>
      <c r="R409" s="145">
        <v>1800</v>
      </c>
      <c r="S409" s="110">
        <v>12</v>
      </c>
      <c r="T409" s="98">
        <f t="shared" si="118"/>
        <v>21600</v>
      </c>
      <c r="U409" s="99">
        <v>0</v>
      </c>
      <c r="V409" s="100">
        <f t="shared" si="119"/>
        <v>0</v>
      </c>
      <c r="W409" s="101"/>
      <c r="X409" s="102"/>
      <c r="Y409" s="103"/>
      <c r="Z409" s="103"/>
      <c r="AA409" s="99">
        <v>600</v>
      </c>
      <c r="AB409" s="100">
        <f t="shared" si="121"/>
        <v>7200</v>
      </c>
      <c r="AC409" s="104">
        <v>600</v>
      </c>
      <c r="AD409" s="105" t="s">
        <v>1052</v>
      </c>
      <c r="AE409" s="105">
        <v>12</v>
      </c>
      <c r="AF409" s="105">
        <f>AE409*AC409</f>
        <v>7200</v>
      </c>
      <c r="AG409" s="99">
        <v>600</v>
      </c>
      <c r="AH409" s="100">
        <f t="shared" si="122"/>
        <v>7200</v>
      </c>
      <c r="AI409" s="106">
        <v>500</v>
      </c>
      <c r="AJ409" s="107" t="s">
        <v>1052</v>
      </c>
      <c r="AK409" s="107">
        <v>12</v>
      </c>
      <c r="AL409" s="107">
        <f t="shared" si="127"/>
        <v>6000</v>
      </c>
      <c r="AM409" s="99">
        <v>600</v>
      </c>
      <c r="AN409" s="100">
        <f t="shared" si="123"/>
        <v>7200</v>
      </c>
      <c r="AO409" s="108">
        <f t="shared" si="124"/>
        <v>1800</v>
      </c>
    </row>
    <row r="410" spans="1:41" ht="20.45" customHeight="1">
      <c r="A410" s="200" t="s">
        <v>1639</v>
      </c>
      <c r="B410" s="91">
        <v>32</v>
      </c>
      <c r="C410" s="228">
        <v>9399615</v>
      </c>
      <c r="D410" s="229"/>
      <c r="E410" s="229"/>
      <c r="F410" s="205" t="s">
        <v>1640</v>
      </c>
      <c r="G410" s="231" t="s">
        <v>1641</v>
      </c>
      <c r="H410" s="172"/>
      <c r="I410" s="173"/>
      <c r="J410" s="174"/>
      <c r="K410" s="175">
        <v>1</v>
      </c>
      <c r="L410" s="175"/>
      <c r="M410" s="116">
        <v>110</v>
      </c>
      <c r="N410" s="116">
        <v>204</v>
      </c>
      <c r="O410" s="116">
        <v>64</v>
      </c>
      <c r="P410" s="94">
        <v>144</v>
      </c>
      <c r="Q410" s="95">
        <v>0</v>
      </c>
      <c r="R410" s="145">
        <v>100</v>
      </c>
      <c r="S410" s="97">
        <v>100</v>
      </c>
      <c r="T410" s="98">
        <f t="shared" si="118"/>
        <v>10000</v>
      </c>
      <c r="U410" s="99">
        <v>0</v>
      </c>
      <c r="V410" s="100">
        <f t="shared" si="119"/>
        <v>0</v>
      </c>
      <c r="W410" s="101"/>
      <c r="X410" s="102"/>
      <c r="Y410" s="103"/>
      <c r="Z410" s="103"/>
      <c r="AA410" s="99">
        <v>0</v>
      </c>
      <c r="AB410" s="100">
        <f t="shared" si="121"/>
        <v>0</v>
      </c>
      <c r="AC410" s="104"/>
      <c r="AD410" s="105"/>
      <c r="AE410" s="105"/>
      <c r="AF410" s="105"/>
      <c r="AG410" s="99">
        <v>50</v>
      </c>
      <c r="AH410" s="100">
        <f t="shared" si="122"/>
        <v>5000</v>
      </c>
      <c r="AI410" s="106"/>
      <c r="AJ410" s="107"/>
      <c r="AK410" s="107"/>
      <c r="AL410" s="107"/>
      <c r="AM410" s="99">
        <v>50</v>
      </c>
      <c r="AN410" s="100">
        <f t="shared" si="123"/>
        <v>5000</v>
      </c>
      <c r="AO410" s="108">
        <f t="shared" si="124"/>
        <v>100</v>
      </c>
    </row>
    <row r="411" spans="1:41" ht="20.45" customHeight="1">
      <c r="A411" s="200"/>
      <c r="B411" s="91">
        <v>33</v>
      </c>
      <c r="C411" s="201"/>
      <c r="D411" s="202"/>
      <c r="E411" s="202"/>
      <c r="F411" s="216"/>
      <c r="G411" s="109" t="s">
        <v>1642</v>
      </c>
      <c r="H411" s="109"/>
      <c r="I411" s="154">
        <v>1</v>
      </c>
      <c r="J411" s="92" t="s">
        <v>94</v>
      </c>
      <c r="K411" s="93">
        <v>1</v>
      </c>
      <c r="L411" s="93" t="s">
        <v>1572</v>
      </c>
      <c r="M411" s="116"/>
      <c r="N411" s="116"/>
      <c r="O411" s="116"/>
      <c r="P411" s="94"/>
      <c r="Q411" s="95"/>
      <c r="R411" s="96">
        <v>400</v>
      </c>
      <c r="S411" s="97">
        <v>21</v>
      </c>
      <c r="T411" s="98">
        <f t="shared" si="118"/>
        <v>8400</v>
      </c>
      <c r="U411" s="99">
        <v>0</v>
      </c>
      <c r="V411" s="100">
        <f t="shared" si="119"/>
        <v>0</v>
      </c>
      <c r="W411" s="101"/>
      <c r="X411" s="102"/>
      <c r="Y411" s="103"/>
      <c r="Z411" s="103"/>
      <c r="AA411" s="99">
        <v>0</v>
      </c>
      <c r="AB411" s="100">
        <f t="shared" si="121"/>
        <v>0</v>
      </c>
      <c r="AC411" s="104"/>
      <c r="AD411" s="105"/>
      <c r="AE411" s="105"/>
      <c r="AF411" s="105"/>
      <c r="AG411" s="99">
        <v>200</v>
      </c>
      <c r="AH411" s="100">
        <f t="shared" si="122"/>
        <v>4200</v>
      </c>
      <c r="AI411" s="106"/>
      <c r="AJ411" s="107"/>
      <c r="AK411" s="107"/>
      <c r="AL411" s="107"/>
      <c r="AM411" s="99">
        <v>200</v>
      </c>
      <c r="AN411" s="100">
        <f t="shared" si="123"/>
        <v>4200</v>
      </c>
      <c r="AO411" s="108">
        <f t="shared" si="124"/>
        <v>400</v>
      </c>
    </row>
    <row r="412" spans="1:41" ht="20.45" customHeight="1">
      <c r="A412" s="200"/>
      <c r="B412" s="91"/>
      <c r="C412" s="228"/>
      <c r="D412" s="229"/>
      <c r="E412" s="229"/>
      <c r="F412" s="205"/>
      <c r="G412" s="232" t="s">
        <v>1643</v>
      </c>
      <c r="H412" s="172"/>
      <c r="I412" s="173"/>
      <c r="J412" s="174"/>
      <c r="K412" s="175"/>
      <c r="L412" s="175"/>
      <c r="M412" s="116"/>
      <c r="N412" s="116"/>
      <c r="O412" s="116">
        <v>0</v>
      </c>
      <c r="P412" s="94"/>
      <c r="Q412" s="95"/>
      <c r="R412" s="96"/>
      <c r="S412" s="97"/>
      <c r="T412" s="159"/>
      <c r="U412" s="99"/>
      <c r="V412" s="120"/>
      <c r="W412" s="101"/>
      <c r="X412" s="102"/>
      <c r="Y412" s="103"/>
      <c r="Z412" s="120"/>
      <c r="AA412" s="99"/>
      <c r="AB412" s="120"/>
      <c r="AC412" s="104"/>
      <c r="AD412" s="105"/>
      <c r="AE412" s="105"/>
      <c r="AF412" s="120">
        <f>SUM(AF379:AF410)</f>
        <v>556280</v>
      </c>
      <c r="AG412" s="99"/>
      <c r="AH412" s="100"/>
      <c r="AI412" s="106"/>
      <c r="AJ412" s="107"/>
      <c r="AK412" s="107"/>
      <c r="AL412" s="107"/>
      <c r="AM412" s="99"/>
      <c r="AN412" s="100"/>
      <c r="AO412" s="108"/>
    </row>
    <row r="413" spans="1:41" ht="20.45" customHeight="1">
      <c r="A413" s="85" t="s">
        <v>1644</v>
      </c>
      <c r="B413" s="86">
        <v>1</v>
      </c>
      <c r="C413" s="87" t="s">
        <v>1645</v>
      </c>
      <c r="D413" s="88">
        <v>801719</v>
      </c>
      <c r="E413" s="88"/>
      <c r="F413" s="89" t="s">
        <v>1646</v>
      </c>
      <c r="G413" s="109" t="s">
        <v>1647</v>
      </c>
      <c r="H413" s="109"/>
      <c r="I413" s="91">
        <v>2</v>
      </c>
      <c r="J413" s="92" t="s">
        <v>94</v>
      </c>
      <c r="K413" s="93">
        <v>50</v>
      </c>
      <c r="L413" s="93" t="s">
        <v>95</v>
      </c>
      <c r="M413" s="116">
        <f>27300/50*12/10</f>
        <v>655.20000000000005</v>
      </c>
      <c r="N413" s="116">
        <f>652/9*12</f>
        <v>869.33333333333326</v>
      </c>
      <c r="O413" s="116">
        <v>890.66666666666663</v>
      </c>
      <c r="P413" s="94">
        <v>900</v>
      </c>
      <c r="Q413" s="95">
        <v>50</v>
      </c>
      <c r="R413" s="112">
        <v>1000</v>
      </c>
      <c r="S413" s="131">
        <v>75</v>
      </c>
      <c r="T413" s="98">
        <f t="shared" ref="T413:T428" si="128">S413*R413</f>
        <v>75000</v>
      </c>
      <c r="U413" s="99">
        <v>400</v>
      </c>
      <c r="V413" s="100">
        <f t="shared" ref="V413:V428" si="129">U413*S413</f>
        <v>30000</v>
      </c>
      <c r="W413" s="101">
        <f>2*200</f>
        <v>400</v>
      </c>
      <c r="X413" s="102" t="s">
        <v>1189</v>
      </c>
      <c r="Y413" s="103">
        <v>68.5</v>
      </c>
      <c r="Z413" s="103">
        <f>Y413*W413</f>
        <v>27400</v>
      </c>
      <c r="AA413" s="99">
        <v>200</v>
      </c>
      <c r="AB413" s="100">
        <f t="shared" ref="AB413:AB428" si="130">AA413*S413</f>
        <v>15000</v>
      </c>
      <c r="AC413" s="104">
        <v>200</v>
      </c>
      <c r="AD413" s="105" t="s">
        <v>1189</v>
      </c>
      <c r="AE413" s="105">
        <v>68.5</v>
      </c>
      <c r="AF413" s="105">
        <f>AE413*AC413</f>
        <v>13700</v>
      </c>
      <c r="AG413" s="99">
        <v>200</v>
      </c>
      <c r="AH413" s="100">
        <f t="shared" ref="AH413:AH428" si="131">S413*AG413</f>
        <v>15000</v>
      </c>
      <c r="AI413" s="106">
        <v>200</v>
      </c>
      <c r="AJ413" s="107" t="s">
        <v>1189</v>
      </c>
      <c r="AK413" s="107">
        <v>68.5</v>
      </c>
      <c r="AL413" s="107">
        <f>AK413*AI413</f>
        <v>13700</v>
      </c>
      <c r="AM413" s="99">
        <v>200</v>
      </c>
      <c r="AN413" s="100">
        <f t="shared" ref="AN413:AN428" si="132">S413*AM413</f>
        <v>15000</v>
      </c>
      <c r="AO413" s="108">
        <f t="shared" ref="AO413:AO428" si="133">U413+AA413+AG413+AM413</f>
        <v>1000</v>
      </c>
    </row>
    <row r="414" spans="1:41" ht="20.45" customHeight="1">
      <c r="A414" s="85" t="s">
        <v>1648</v>
      </c>
      <c r="B414" s="86">
        <v>2</v>
      </c>
      <c r="C414" s="87" t="s">
        <v>1649</v>
      </c>
      <c r="D414" s="88">
        <v>726413</v>
      </c>
      <c r="E414" s="88"/>
      <c r="F414" s="89" t="s">
        <v>1650</v>
      </c>
      <c r="G414" s="113" t="s">
        <v>1651</v>
      </c>
      <c r="H414" s="113"/>
      <c r="I414" s="114">
        <v>2</v>
      </c>
      <c r="J414" s="92" t="s">
        <v>184</v>
      </c>
      <c r="K414" s="93">
        <v>1000</v>
      </c>
      <c r="L414" s="93" t="s">
        <v>185</v>
      </c>
      <c r="M414" s="116">
        <f>14.5/10*12</f>
        <v>17.399999999999999</v>
      </c>
      <c r="N414" s="116">
        <f>11.5/9*12</f>
        <v>15.333333333333332</v>
      </c>
      <c r="O414" s="116">
        <v>17.333333333333332</v>
      </c>
      <c r="P414" s="94">
        <v>20</v>
      </c>
      <c r="Q414" s="95">
        <v>5</v>
      </c>
      <c r="R414" s="112">
        <v>20</v>
      </c>
      <c r="S414" s="110">
        <v>1300</v>
      </c>
      <c r="T414" s="98">
        <f t="shared" si="128"/>
        <v>26000</v>
      </c>
      <c r="U414" s="99">
        <v>5</v>
      </c>
      <c r="V414" s="100">
        <f t="shared" si="129"/>
        <v>6500</v>
      </c>
      <c r="W414" s="101">
        <v>5</v>
      </c>
      <c r="X414" s="102" t="s">
        <v>866</v>
      </c>
      <c r="Y414" s="103">
        <v>1300</v>
      </c>
      <c r="Z414" s="103">
        <f>Y414*W414</f>
        <v>6500</v>
      </c>
      <c r="AA414" s="99">
        <v>10</v>
      </c>
      <c r="AB414" s="100">
        <f t="shared" si="130"/>
        <v>13000</v>
      </c>
      <c r="AC414" s="104">
        <v>10</v>
      </c>
      <c r="AD414" s="105" t="s">
        <v>866</v>
      </c>
      <c r="AE414" s="105">
        <v>1300</v>
      </c>
      <c r="AF414" s="105">
        <f>AE414*AC414</f>
        <v>13000</v>
      </c>
      <c r="AG414" s="99">
        <v>0</v>
      </c>
      <c r="AH414" s="100">
        <f t="shared" si="131"/>
        <v>0</v>
      </c>
      <c r="AI414" s="106"/>
      <c r="AJ414" s="107"/>
      <c r="AK414" s="107"/>
      <c r="AL414" s="107"/>
      <c r="AM414" s="99">
        <v>5</v>
      </c>
      <c r="AN414" s="100">
        <f t="shared" si="132"/>
        <v>6500</v>
      </c>
      <c r="AO414" s="108">
        <f t="shared" si="133"/>
        <v>20</v>
      </c>
    </row>
    <row r="415" spans="1:41" ht="20.45" customHeight="1">
      <c r="A415" s="85" t="s">
        <v>1652</v>
      </c>
      <c r="B415" s="86">
        <v>3</v>
      </c>
      <c r="C415" s="87" t="s">
        <v>1653</v>
      </c>
      <c r="D415" s="88">
        <v>596657</v>
      </c>
      <c r="E415" s="88"/>
      <c r="F415" s="89" t="s">
        <v>1654</v>
      </c>
      <c r="G415" s="109" t="s">
        <v>1655</v>
      </c>
      <c r="H415" s="109"/>
      <c r="I415" s="91">
        <v>2</v>
      </c>
      <c r="J415" s="92" t="s">
        <v>195</v>
      </c>
      <c r="K415" s="93">
        <v>1</v>
      </c>
      <c r="L415" s="93" t="s">
        <v>1656</v>
      </c>
      <c r="M415" s="116">
        <f>796/10*12</f>
        <v>955.19999999999993</v>
      </c>
      <c r="N415" s="116">
        <f>110/9*12</f>
        <v>146.66666666666666</v>
      </c>
      <c r="O415" s="116">
        <v>104</v>
      </c>
      <c r="P415" s="94">
        <v>156</v>
      </c>
      <c r="Q415" s="95">
        <v>56</v>
      </c>
      <c r="R415" s="112">
        <v>200</v>
      </c>
      <c r="S415" s="125">
        <v>13</v>
      </c>
      <c r="T415" s="98">
        <f t="shared" si="128"/>
        <v>2600</v>
      </c>
      <c r="U415" s="99">
        <v>100</v>
      </c>
      <c r="V415" s="100">
        <f t="shared" si="129"/>
        <v>1300</v>
      </c>
      <c r="W415" s="101">
        <v>100</v>
      </c>
      <c r="X415" s="102" t="s">
        <v>522</v>
      </c>
      <c r="Y415" s="127">
        <v>13</v>
      </c>
      <c r="Z415" s="103">
        <f>Y415*W415</f>
        <v>1300</v>
      </c>
      <c r="AA415" s="99">
        <v>100</v>
      </c>
      <c r="AB415" s="100">
        <f t="shared" si="130"/>
        <v>1300</v>
      </c>
      <c r="AC415" s="104">
        <v>100</v>
      </c>
      <c r="AD415" s="105" t="s">
        <v>147</v>
      </c>
      <c r="AE415" s="134">
        <v>13</v>
      </c>
      <c r="AF415" s="105">
        <f>AE415*AC415</f>
        <v>1300</v>
      </c>
      <c r="AG415" s="99">
        <v>0</v>
      </c>
      <c r="AH415" s="100">
        <f t="shared" si="131"/>
        <v>0</v>
      </c>
      <c r="AI415" s="106"/>
      <c r="AJ415" s="107"/>
      <c r="AK415" s="107"/>
      <c r="AL415" s="107"/>
      <c r="AM415" s="99">
        <v>0</v>
      </c>
      <c r="AN415" s="100">
        <f t="shared" si="132"/>
        <v>0</v>
      </c>
      <c r="AO415" s="108">
        <f t="shared" si="133"/>
        <v>200</v>
      </c>
    </row>
    <row r="416" spans="1:41" s="233" customFormat="1" ht="20.45" customHeight="1">
      <c r="A416" s="85" t="s">
        <v>1657</v>
      </c>
      <c r="B416" s="86">
        <v>4</v>
      </c>
      <c r="C416" s="87" t="s">
        <v>1658</v>
      </c>
      <c r="D416" s="88">
        <v>872723</v>
      </c>
      <c r="E416" s="88"/>
      <c r="F416" s="89" t="s">
        <v>1659</v>
      </c>
      <c r="G416" s="113" t="s">
        <v>1660</v>
      </c>
      <c r="H416" s="113"/>
      <c r="I416" s="114">
        <v>2</v>
      </c>
      <c r="J416" s="92" t="s">
        <v>51</v>
      </c>
      <c r="K416" s="93">
        <v>1</v>
      </c>
      <c r="L416" s="93" t="s">
        <v>52</v>
      </c>
      <c r="M416" s="116">
        <f>55/10*12</f>
        <v>66</v>
      </c>
      <c r="N416" s="116">
        <f>38/9*12</f>
        <v>50.666666666666671</v>
      </c>
      <c r="O416" s="116">
        <v>62.666666666666664</v>
      </c>
      <c r="P416" s="94">
        <v>63</v>
      </c>
      <c r="Q416" s="95">
        <v>3</v>
      </c>
      <c r="R416" s="96">
        <f>P416-Q416</f>
        <v>60</v>
      </c>
      <c r="S416" s="97">
        <v>100</v>
      </c>
      <c r="T416" s="98">
        <f t="shared" si="128"/>
        <v>6000</v>
      </c>
      <c r="U416" s="99">
        <v>0</v>
      </c>
      <c r="V416" s="100">
        <f t="shared" si="129"/>
        <v>0</v>
      </c>
      <c r="W416" s="101"/>
      <c r="X416" s="102"/>
      <c r="Y416" s="103"/>
      <c r="Z416" s="103"/>
      <c r="AA416" s="99">
        <v>0</v>
      </c>
      <c r="AB416" s="100">
        <f t="shared" si="130"/>
        <v>0</v>
      </c>
      <c r="AC416" s="104"/>
      <c r="AD416" s="105"/>
      <c r="AE416" s="105"/>
      <c r="AF416" s="105"/>
      <c r="AG416" s="99">
        <v>60</v>
      </c>
      <c r="AH416" s="100">
        <f t="shared" si="131"/>
        <v>6000</v>
      </c>
      <c r="AI416" s="106">
        <v>60</v>
      </c>
      <c r="AJ416" s="107" t="s">
        <v>197</v>
      </c>
      <c r="AK416" s="107">
        <v>78.11</v>
      </c>
      <c r="AL416" s="107">
        <f>AK416*AI416</f>
        <v>4686.6000000000004</v>
      </c>
      <c r="AM416" s="99">
        <v>0</v>
      </c>
      <c r="AN416" s="100">
        <f t="shared" si="132"/>
        <v>0</v>
      </c>
      <c r="AO416" s="108">
        <f t="shared" si="133"/>
        <v>60</v>
      </c>
    </row>
    <row r="417" spans="1:50" s="233" customFormat="1" ht="20.45" customHeight="1">
      <c r="A417" s="85" t="s">
        <v>1661</v>
      </c>
      <c r="B417" s="86">
        <v>5</v>
      </c>
      <c r="C417" s="87">
        <v>796072</v>
      </c>
      <c r="D417" s="88">
        <v>796055</v>
      </c>
      <c r="E417" s="88"/>
      <c r="F417" s="117" t="s">
        <v>1662</v>
      </c>
      <c r="G417" s="113" t="s">
        <v>1663</v>
      </c>
      <c r="H417" s="113"/>
      <c r="I417" s="114">
        <v>2</v>
      </c>
      <c r="J417" s="118" t="s">
        <v>94</v>
      </c>
      <c r="K417" s="115">
        <v>1</v>
      </c>
      <c r="L417" s="115" t="s">
        <v>95</v>
      </c>
      <c r="M417" s="116">
        <v>1368</v>
      </c>
      <c r="N417" s="116">
        <f>960/9*12</f>
        <v>1280</v>
      </c>
      <c r="O417" s="116">
        <v>800</v>
      </c>
      <c r="P417" s="94">
        <v>800</v>
      </c>
      <c r="Q417" s="95">
        <v>100</v>
      </c>
      <c r="R417" s="112">
        <v>720</v>
      </c>
      <c r="S417" s="150">
        <v>25</v>
      </c>
      <c r="T417" s="98">
        <f t="shared" si="128"/>
        <v>18000</v>
      </c>
      <c r="U417" s="138">
        <v>0</v>
      </c>
      <c r="V417" s="100">
        <f t="shared" si="129"/>
        <v>0</v>
      </c>
      <c r="W417" s="101"/>
      <c r="X417" s="102"/>
      <c r="Y417" s="103"/>
      <c r="Z417" s="103"/>
      <c r="AA417" s="138">
        <v>360</v>
      </c>
      <c r="AB417" s="100">
        <f t="shared" si="130"/>
        <v>9000</v>
      </c>
      <c r="AC417" s="104">
        <f>12*30</f>
        <v>360</v>
      </c>
      <c r="AD417" s="105" t="s">
        <v>197</v>
      </c>
      <c r="AE417" s="105">
        <f>395.9/30</f>
        <v>13.196666666666665</v>
      </c>
      <c r="AF417" s="105">
        <f>AE417*AC417</f>
        <v>4750.7999999999993</v>
      </c>
      <c r="AG417" s="138">
        <v>0</v>
      </c>
      <c r="AH417" s="100">
        <f t="shared" si="131"/>
        <v>0</v>
      </c>
      <c r="AI417" s="106"/>
      <c r="AJ417" s="107"/>
      <c r="AK417" s="107"/>
      <c r="AL417" s="107"/>
      <c r="AM417" s="138">
        <v>360</v>
      </c>
      <c r="AN417" s="100">
        <f t="shared" si="132"/>
        <v>9000</v>
      </c>
      <c r="AO417" s="108">
        <f t="shared" si="133"/>
        <v>720</v>
      </c>
    </row>
    <row r="418" spans="1:50" ht="20.45" customHeight="1">
      <c r="A418" s="85" t="s">
        <v>1664</v>
      </c>
      <c r="B418" s="86">
        <v>6</v>
      </c>
      <c r="C418" s="87" t="s">
        <v>1665</v>
      </c>
      <c r="D418" s="88">
        <v>1017483</v>
      </c>
      <c r="E418" s="88"/>
      <c r="F418" s="89" t="s">
        <v>1666</v>
      </c>
      <c r="G418" s="113" t="s">
        <v>1667</v>
      </c>
      <c r="H418" s="113"/>
      <c r="I418" s="114">
        <v>2</v>
      </c>
      <c r="J418" s="92" t="s">
        <v>322</v>
      </c>
      <c r="K418" s="93">
        <v>1</v>
      </c>
      <c r="L418" s="93" t="s">
        <v>52</v>
      </c>
      <c r="M418" s="116">
        <f>144/10*12</f>
        <v>172.8</v>
      </c>
      <c r="N418" s="116">
        <f>176/9*12</f>
        <v>234.66666666666669</v>
      </c>
      <c r="O418" s="116">
        <v>280</v>
      </c>
      <c r="P418" s="94">
        <v>224</v>
      </c>
      <c r="Q418" s="95">
        <v>24</v>
      </c>
      <c r="R418" s="96">
        <f>P418-Q418</f>
        <v>200</v>
      </c>
      <c r="S418" s="97">
        <v>59</v>
      </c>
      <c r="T418" s="98">
        <f t="shared" si="128"/>
        <v>11800</v>
      </c>
      <c r="U418" s="99">
        <v>100</v>
      </c>
      <c r="V418" s="100">
        <f t="shared" si="129"/>
        <v>5900</v>
      </c>
      <c r="W418" s="101">
        <v>100</v>
      </c>
      <c r="X418" s="102" t="s">
        <v>240</v>
      </c>
      <c r="Y418" s="103">
        <v>58.85</v>
      </c>
      <c r="Z418" s="103">
        <f>Y418*W418</f>
        <v>5885</v>
      </c>
      <c r="AA418" s="99">
        <v>0</v>
      </c>
      <c r="AB418" s="100">
        <f t="shared" si="130"/>
        <v>0</v>
      </c>
      <c r="AC418" s="104"/>
      <c r="AD418" s="105"/>
      <c r="AE418" s="105"/>
      <c r="AF418" s="105"/>
      <c r="AG418" s="99">
        <v>100</v>
      </c>
      <c r="AH418" s="100">
        <f t="shared" si="131"/>
        <v>5900</v>
      </c>
      <c r="AI418" s="106">
        <v>100</v>
      </c>
      <c r="AJ418" s="107" t="s">
        <v>240</v>
      </c>
      <c r="AK418" s="107">
        <v>58.85</v>
      </c>
      <c r="AL418" s="107">
        <f>AK418*AI418</f>
        <v>5885</v>
      </c>
      <c r="AM418" s="99">
        <v>0</v>
      </c>
      <c r="AN418" s="100">
        <f t="shared" si="132"/>
        <v>0</v>
      </c>
      <c r="AO418" s="108">
        <f t="shared" si="133"/>
        <v>200</v>
      </c>
    </row>
    <row r="419" spans="1:50" ht="20.45" customHeight="1">
      <c r="A419" s="85" t="s">
        <v>1668</v>
      </c>
      <c r="B419" s="86">
        <v>7</v>
      </c>
      <c r="C419" s="87">
        <v>128626</v>
      </c>
      <c r="D419" s="88">
        <v>205871</v>
      </c>
      <c r="E419" s="88"/>
      <c r="F419" s="117" t="s">
        <v>1669</v>
      </c>
      <c r="G419" s="109" t="s">
        <v>1670</v>
      </c>
      <c r="H419" s="109"/>
      <c r="I419" s="91">
        <v>2</v>
      </c>
      <c r="J419" s="92" t="s">
        <v>88</v>
      </c>
      <c r="K419" s="93">
        <v>1</v>
      </c>
      <c r="L419" s="93" t="s">
        <v>202</v>
      </c>
      <c r="M419" s="116">
        <f>415/10*12</f>
        <v>498</v>
      </c>
      <c r="N419" s="116">
        <f>655/9*12</f>
        <v>873.33333333333326</v>
      </c>
      <c r="O419" s="116">
        <v>853.33333333333337</v>
      </c>
      <c r="P419" s="94">
        <v>800</v>
      </c>
      <c r="Q419" s="95">
        <v>0</v>
      </c>
      <c r="R419" s="96">
        <f>P419-Q419</f>
        <v>800</v>
      </c>
      <c r="S419" s="97">
        <v>12</v>
      </c>
      <c r="T419" s="98">
        <f t="shared" si="128"/>
        <v>9600</v>
      </c>
      <c r="U419" s="99">
        <v>200</v>
      </c>
      <c r="V419" s="100">
        <f t="shared" si="129"/>
        <v>2400</v>
      </c>
      <c r="W419" s="101">
        <v>200</v>
      </c>
      <c r="X419" s="102" t="s">
        <v>89</v>
      </c>
      <c r="Y419" s="103">
        <v>12</v>
      </c>
      <c r="Z419" s="103">
        <f>Y419*W419</f>
        <v>2400</v>
      </c>
      <c r="AA419" s="99">
        <v>200</v>
      </c>
      <c r="AB419" s="100">
        <f t="shared" si="130"/>
        <v>2400</v>
      </c>
      <c r="AC419" s="104">
        <v>200</v>
      </c>
      <c r="AD419" s="105" t="s">
        <v>89</v>
      </c>
      <c r="AE419" s="105">
        <f>600/50</f>
        <v>12</v>
      </c>
      <c r="AF419" s="105">
        <f t="shared" ref="AF419:AF424" si="134">AE419*AC419</f>
        <v>2400</v>
      </c>
      <c r="AG419" s="99">
        <v>200</v>
      </c>
      <c r="AH419" s="100">
        <f t="shared" si="131"/>
        <v>2400</v>
      </c>
      <c r="AI419" s="106">
        <v>200</v>
      </c>
      <c r="AJ419" s="107" t="s">
        <v>89</v>
      </c>
      <c r="AK419" s="107">
        <f>600/50</f>
        <v>12</v>
      </c>
      <c r="AL419" s="107">
        <f>AK419*AI419</f>
        <v>2400</v>
      </c>
      <c r="AM419" s="99">
        <v>200</v>
      </c>
      <c r="AN419" s="100">
        <f t="shared" si="132"/>
        <v>2400</v>
      </c>
      <c r="AO419" s="108">
        <f t="shared" si="133"/>
        <v>800</v>
      </c>
    </row>
    <row r="420" spans="1:50" ht="20.45" customHeight="1">
      <c r="A420" s="85" t="s">
        <v>1671</v>
      </c>
      <c r="B420" s="86">
        <v>8</v>
      </c>
      <c r="C420" s="87" t="s">
        <v>1672</v>
      </c>
      <c r="D420" s="88">
        <v>696787</v>
      </c>
      <c r="E420" s="88"/>
      <c r="F420" s="89" t="s">
        <v>1673</v>
      </c>
      <c r="G420" s="113" t="s">
        <v>1674</v>
      </c>
      <c r="H420" s="113"/>
      <c r="I420" s="114">
        <v>2</v>
      </c>
      <c r="J420" s="118" t="s">
        <v>184</v>
      </c>
      <c r="K420" s="115">
        <v>500</v>
      </c>
      <c r="L420" s="115" t="s">
        <v>185</v>
      </c>
      <c r="M420" s="116">
        <v>4</v>
      </c>
      <c r="N420" s="116">
        <v>0</v>
      </c>
      <c r="O420" s="116">
        <v>2.6666666666666665</v>
      </c>
      <c r="P420" s="94">
        <v>2</v>
      </c>
      <c r="Q420" s="95">
        <v>2</v>
      </c>
      <c r="R420" s="96">
        <f>P420-Q420</f>
        <v>0</v>
      </c>
      <c r="S420" s="150">
        <v>510</v>
      </c>
      <c r="T420" s="98">
        <f t="shared" si="128"/>
        <v>0</v>
      </c>
      <c r="U420" s="138">
        <v>0</v>
      </c>
      <c r="V420" s="100">
        <f t="shared" si="129"/>
        <v>0</v>
      </c>
      <c r="W420" s="101"/>
      <c r="X420" s="102"/>
      <c r="Y420" s="103"/>
      <c r="Z420" s="103"/>
      <c r="AA420" s="138">
        <v>0</v>
      </c>
      <c r="AB420" s="100">
        <f t="shared" si="130"/>
        <v>0</v>
      </c>
      <c r="AC420" s="104"/>
      <c r="AD420" s="105"/>
      <c r="AE420" s="105"/>
      <c r="AF420" s="105">
        <f t="shared" si="134"/>
        <v>0</v>
      </c>
      <c r="AG420" s="138">
        <v>0</v>
      </c>
      <c r="AH420" s="100">
        <f t="shared" si="131"/>
        <v>0</v>
      </c>
      <c r="AI420" s="106"/>
      <c r="AJ420" s="107"/>
      <c r="AK420" s="107"/>
      <c r="AL420" s="107"/>
      <c r="AM420" s="138">
        <v>0</v>
      </c>
      <c r="AN420" s="100">
        <f t="shared" si="132"/>
        <v>0</v>
      </c>
      <c r="AO420" s="108">
        <f t="shared" si="133"/>
        <v>0</v>
      </c>
    </row>
    <row r="421" spans="1:50" ht="20.45" customHeight="1">
      <c r="A421" s="85" t="s">
        <v>1675</v>
      </c>
      <c r="B421" s="86">
        <v>9</v>
      </c>
      <c r="C421" s="87" t="s">
        <v>1676</v>
      </c>
      <c r="D421" s="88">
        <v>676278</v>
      </c>
      <c r="E421" s="88"/>
      <c r="F421" s="89" t="s">
        <v>1677</v>
      </c>
      <c r="G421" s="109" t="s">
        <v>1678</v>
      </c>
      <c r="H421" s="109"/>
      <c r="I421" s="91">
        <v>2</v>
      </c>
      <c r="J421" s="92" t="s">
        <v>195</v>
      </c>
      <c r="K421" s="93">
        <v>1</v>
      </c>
      <c r="L421" s="93" t="s">
        <v>196</v>
      </c>
      <c r="M421" s="116">
        <f>604/10*12</f>
        <v>724.8</v>
      </c>
      <c r="N421" s="116">
        <f>459/9*12</f>
        <v>612</v>
      </c>
      <c r="O421" s="116">
        <v>160</v>
      </c>
      <c r="P421" s="94">
        <v>360</v>
      </c>
      <c r="Q421" s="95">
        <v>160</v>
      </c>
      <c r="R421" s="96">
        <f>P421-Q421</f>
        <v>200</v>
      </c>
      <c r="S421" s="97">
        <v>16</v>
      </c>
      <c r="T421" s="98">
        <f t="shared" si="128"/>
        <v>3200</v>
      </c>
      <c r="U421" s="99">
        <v>0</v>
      </c>
      <c r="V421" s="100">
        <f t="shared" si="129"/>
        <v>0</v>
      </c>
      <c r="W421" s="101"/>
      <c r="X421" s="102"/>
      <c r="Y421" s="103"/>
      <c r="Z421" s="103"/>
      <c r="AA421" s="99">
        <v>0</v>
      </c>
      <c r="AB421" s="100">
        <f t="shared" si="130"/>
        <v>0</v>
      </c>
      <c r="AC421" s="104"/>
      <c r="AD421" s="105"/>
      <c r="AE421" s="105"/>
      <c r="AF421" s="105">
        <f t="shared" si="134"/>
        <v>0</v>
      </c>
      <c r="AG421" s="99">
        <v>200</v>
      </c>
      <c r="AH421" s="100">
        <f t="shared" si="131"/>
        <v>3200</v>
      </c>
      <c r="AI421" s="106"/>
      <c r="AJ421" s="107"/>
      <c r="AK421" s="107"/>
      <c r="AL421" s="107"/>
      <c r="AM421" s="99">
        <v>0</v>
      </c>
      <c r="AN421" s="100">
        <f t="shared" si="132"/>
        <v>0</v>
      </c>
      <c r="AO421" s="108">
        <f t="shared" si="133"/>
        <v>200</v>
      </c>
    </row>
    <row r="422" spans="1:50" ht="20.45" customHeight="1">
      <c r="A422" s="85" t="s">
        <v>1679</v>
      </c>
      <c r="B422" s="86">
        <v>10</v>
      </c>
      <c r="C422" s="87" t="s">
        <v>1680</v>
      </c>
      <c r="D422" s="88">
        <v>768146</v>
      </c>
      <c r="E422" s="88"/>
      <c r="F422" s="89" t="s">
        <v>1681</v>
      </c>
      <c r="G422" s="109" t="s">
        <v>1682</v>
      </c>
      <c r="H422" s="109"/>
      <c r="I422" s="91">
        <v>2</v>
      </c>
      <c r="J422" s="92" t="s">
        <v>83</v>
      </c>
      <c r="K422" s="93">
        <v>1000</v>
      </c>
      <c r="L422" s="93" t="s">
        <v>84</v>
      </c>
      <c r="M422" s="116">
        <f>215/10*12</f>
        <v>258</v>
      </c>
      <c r="N422" s="116">
        <f>173/9*12</f>
        <v>230.66666666666666</v>
      </c>
      <c r="O422" s="116">
        <v>212</v>
      </c>
      <c r="P422" s="94">
        <v>216</v>
      </c>
      <c r="Q422" s="133">
        <v>16</v>
      </c>
      <c r="R422" s="96">
        <f>P422-Q422</f>
        <v>200</v>
      </c>
      <c r="S422" s="125">
        <v>256.8</v>
      </c>
      <c r="T422" s="98">
        <f t="shared" si="128"/>
        <v>51360</v>
      </c>
      <c r="U422" s="99">
        <v>50</v>
      </c>
      <c r="V422" s="100">
        <f t="shared" si="129"/>
        <v>12840</v>
      </c>
      <c r="W422" s="101">
        <v>50</v>
      </c>
      <c r="X422" s="102" t="s">
        <v>110</v>
      </c>
      <c r="Y422" s="127">
        <v>256.8</v>
      </c>
      <c r="Z422" s="103">
        <f>Y422*W422</f>
        <v>12840</v>
      </c>
      <c r="AA422" s="99">
        <v>50</v>
      </c>
      <c r="AB422" s="100">
        <f t="shared" si="130"/>
        <v>12840</v>
      </c>
      <c r="AC422" s="104">
        <v>50</v>
      </c>
      <c r="AD422" s="105" t="s">
        <v>110</v>
      </c>
      <c r="AE422" s="105">
        <v>256.8</v>
      </c>
      <c r="AF422" s="105">
        <f t="shared" si="134"/>
        <v>12840</v>
      </c>
      <c r="AG422" s="99">
        <v>50</v>
      </c>
      <c r="AH422" s="100">
        <f t="shared" si="131"/>
        <v>12840</v>
      </c>
      <c r="AI422" s="106">
        <v>50</v>
      </c>
      <c r="AJ422" s="107" t="s">
        <v>110</v>
      </c>
      <c r="AK422" s="107">
        <v>256.8</v>
      </c>
      <c r="AL422" s="107">
        <f>AK422*AI422</f>
        <v>12840</v>
      </c>
      <c r="AM422" s="99">
        <v>50</v>
      </c>
      <c r="AN422" s="100">
        <f t="shared" si="132"/>
        <v>12840</v>
      </c>
      <c r="AO422" s="108">
        <f t="shared" si="133"/>
        <v>200</v>
      </c>
    </row>
    <row r="423" spans="1:50" ht="20.45" customHeight="1">
      <c r="A423" s="85" t="s">
        <v>1683</v>
      </c>
      <c r="B423" s="86">
        <v>11</v>
      </c>
      <c r="C423" s="87" t="s">
        <v>1684</v>
      </c>
      <c r="D423" s="88">
        <v>207214</v>
      </c>
      <c r="E423" s="88"/>
      <c r="F423" s="89" t="s">
        <v>1685</v>
      </c>
      <c r="G423" s="113" t="s">
        <v>1686</v>
      </c>
      <c r="H423" s="113"/>
      <c r="I423" s="114">
        <v>2</v>
      </c>
      <c r="J423" s="92" t="s">
        <v>184</v>
      </c>
      <c r="K423" s="93">
        <v>100</v>
      </c>
      <c r="L423" s="93" t="s">
        <v>185</v>
      </c>
      <c r="M423" s="116">
        <f>28/10*12</f>
        <v>33.599999999999994</v>
      </c>
      <c r="N423" s="116">
        <f>41/9*12</f>
        <v>54.666666666666664</v>
      </c>
      <c r="O423" s="116">
        <v>21.333333333333332</v>
      </c>
      <c r="P423" s="94">
        <v>19</v>
      </c>
      <c r="Q423" s="95">
        <v>19</v>
      </c>
      <c r="R423" s="112">
        <v>50</v>
      </c>
      <c r="S423" s="97">
        <v>95</v>
      </c>
      <c r="T423" s="98">
        <f t="shared" si="128"/>
        <v>4750</v>
      </c>
      <c r="U423" s="99">
        <v>0</v>
      </c>
      <c r="V423" s="100">
        <f t="shared" si="129"/>
        <v>0</v>
      </c>
      <c r="W423" s="101"/>
      <c r="X423" s="102"/>
      <c r="Y423" s="103"/>
      <c r="Z423" s="103"/>
      <c r="AA423" s="99">
        <v>50</v>
      </c>
      <c r="AB423" s="100">
        <f t="shared" si="130"/>
        <v>4750</v>
      </c>
      <c r="AC423" s="104">
        <v>50</v>
      </c>
      <c r="AD423" s="105" t="s">
        <v>623</v>
      </c>
      <c r="AE423" s="105">
        <v>95</v>
      </c>
      <c r="AF423" s="105">
        <f t="shared" si="134"/>
        <v>4750</v>
      </c>
      <c r="AG423" s="99">
        <v>0</v>
      </c>
      <c r="AH423" s="100">
        <f t="shared" si="131"/>
        <v>0</v>
      </c>
      <c r="AI423" s="106"/>
      <c r="AJ423" s="107"/>
      <c r="AK423" s="107"/>
      <c r="AL423" s="107">
        <f>AK423*AI423</f>
        <v>0</v>
      </c>
      <c r="AM423" s="99">
        <v>0</v>
      </c>
      <c r="AN423" s="100">
        <f t="shared" si="132"/>
        <v>0</v>
      </c>
      <c r="AO423" s="108">
        <f t="shared" si="133"/>
        <v>50</v>
      </c>
    </row>
    <row r="424" spans="1:50" ht="20.45" customHeight="1">
      <c r="A424" s="85" t="s">
        <v>1687</v>
      </c>
      <c r="B424" s="86">
        <v>12</v>
      </c>
      <c r="C424" s="87">
        <v>1147023</v>
      </c>
      <c r="D424" s="88">
        <v>1147291</v>
      </c>
      <c r="E424" s="88"/>
      <c r="F424" s="117" t="s">
        <v>1688</v>
      </c>
      <c r="G424" s="109" t="s">
        <v>1689</v>
      </c>
      <c r="H424" s="109" t="s">
        <v>110</v>
      </c>
      <c r="I424" s="91">
        <v>2</v>
      </c>
      <c r="J424" s="92" t="s">
        <v>115</v>
      </c>
      <c r="K424" s="93">
        <v>1</v>
      </c>
      <c r="L424" s="93" t="s">
        <v>196</v>
      </c>
      <c r="M424" s="116">
        <v>0</v>
      </c>
      <c r="N424" s="116">
        <v>0</v>
      </c>
      <c r="O424" s="116">
        <v>40</v>
      </c>
      <c r="P424" s="94">
        <v>120</v>
      </c>
      <c r="Q424" s="95">
        <v>0</v>
      </c>
      <c r="R424" s="112">
        <v>690</v>
      </c>
      <c r="S424" s="97">
        <v>190.46</v>
      </c>
      <c r="T424" s="98">
        <f t="shared" si="128"/>
        <v>131417.4</v>
      </c>
      <c r="U424" s="99">
        <v>90</v>
      </c>
      <c r="V424" s="100">
        <f t="shared" si="129"/>
        <v>17141.400000000001</v>
      </c>
      <c r="W424" s="101">
        <v>90</v>
      </c>
      <c r="X424" s="102" t="s">
        <v>1105</v>
      </c>
      <c r="Y424" s="103">
        <v>190.46</v>
      </c>
      <c r="Z424" s="103">
        <f>Y424*W424</f>
        <v>17141.400000000001</v>
      </c>
      <c r="AA424" s="99">
        <v>200</v>
      </c>
      <c r="AB424" s="100">
        <f t="shared" si="130"/>
        <v>38092</v>
      </c>
      <c r="AC424" s="104">
        <f>2*100</f>
        <v>200</v>
      </c>
      <c r="AD424" s="105" t="s">
        <v>110</v>
      </c>
      <c r="AE424" s="105">
        <v>190.46</v>
      </c>
      <c r="AF424" s="105">
        <f t="shared" si="134"/>
        <v>38092</v>
      </c>
      <c r="AG424" s="99">
        <v>200</v>
      </c>
      <c r="AH424" s="100">
        <f t="shared" si="131"/>
        <v>38092</v>
      </c>
      <c r="AI424" s="106">
        <v>100</v>
      </c>
      <c r="AJ424" s="107" t="s">
        <v>110</v>
      </c>
      <c r="AK424" s="107">
        <v>190.46</v>
      </c>
      <c r="AL424" s="107">
        <f>AK424*AI424</f>
        <v>19046</v>
      </c>
      <c r="AM424" s="99">
        <v>200</v>
      </c>
      <c r="AN424" s="100">
        <f t="shared" si="132"/>
        <v>38092</v>
      </c>
      <c r="AO424" s="108">
        <f t="shared" si="133"/>
        <v>690</v>
      </c>
    </row>
    <row r="425" spans="1:50" s="121" customFormat="1" ht="20.45" customHeight="1">
      <c r="A425" s="85" t="s">
        <v>1690</v>
      </c>
      <c r="B425" s="86">
        <v>13</v>
      </c>
      <c r="C425" s="87" t="s">
        <v>1691</v>
      </c>
      <c r="D425" s="88">
        <v>327367</v>
      </c>
      <c r="E425" s="88"/>
      <c r="F425" s="89" t="s">
        <v>1692</v>
      </c>
      <c r="G425" s="113" t="s">
        <v>1693</v>
      </c>
      <c r="H425" s="113"/>
      <c r="I425" s="114">
        <v>2</v>
      </c>
      <c r="J425" s="118" t="s">
        <v>83</v>
      </c>
      <c r="K425" s="115">
        <v>1</v>
      </c>
      <c r="L425" s="115" t="s">
        <v>84</v>
      </c>
      <c r="M425" s="116">
        <f>800/10*12</f>
        <v>960</v>
      </c>
      <c r="N425" s="116">
        <f>1100/9*12</f>
        <v>1466.6666666666667</v>
      </c>
      <c r="O425" s="116">
        <v>133.33333333333334</v>
      </c>
      <c r="P425" s="94">
        <v>600</v>
      </c>
      <c r="Q425" s="95">
        <v>600</v>
      </c>
      <c r="R425" s="112">
        <v>3000</v>
      </c>
      <c r="S425" s="97">
        <v>5</v>
      </c>
      <c r="T425" s="98">
        <f t="shared" si="128"/>
        <v>15000</v>
      </c>
      <c r="U425" s="99">
        <v>0</v>
      </c>
      <c r="V425" s="100">
        <f t="shared" si="129"/>
        <v>0</v>
      </c>
      <c r="W425" s="101"/>
      <c r="X425" s="102"/>
      <c r="Y425" s="103"/>
      <c r="Z425" s="103"/>
      <c r="AA425" s="99">
        <v>0</v>
      </c>
      <c r="AB425" s="100">
        <f t="shared" si="130"/>
        <v>0</v>
      </c>
      <c r="AC425" s="104"/>
      <c r="AD425" s="105"/>
      <c r="AE425" s="105"/>
      <c r="AF425" s="105"/>
      <c r="AG425" s="99">
        <v>3000</v>
      </c>
      <c r="AH425" s="100">
        <f t="shared" si="131"/>
        <v>15000</v>
      </c>
      <c r="AI425" s="106"/>
      <c r="AJ425" s="107"/>
      <c r="AK425" s="107"/>
      <c r="AL425" s="107"/>
      <c r="AM425" s="99">
        <v>0</v>
      </c>
      <c r="AN425" s="100">
        <f t="shared" si="132"/>
        <v>0</v>
      </c>
      <c r="AO425" s="108">
        <f t="shared" si="133"/>
        <v>3000</v>
      </c>
    </row>
    <row r="426" spans="1:50" ht="20.45" customHeight="1">
      <c r="A426" s="85" t="s">
        <v>1694</v>
      </c>
      <c r="B426" s="86">
        <v>14</v>
      </c>
      <c r="C426" s="234" t="s">
        <v>1695</v>
      </c>
      <c r="D426" s="235">
        <v>291532</v>
      </c>
      <c r="E426" s="235"/>
      <c r="F426" s="236" t="s">
        <v>1696</v>
      </c>
      <c r="G426" s="237" t="s">
        <v>1697</v>
      </c>
      <c r="H426" s="237"/>
      <c r="I426" s="238">
        <v>2</v>
      </c>
      <c r="J426" s="239" t="s">
        <v>184</v>
      </c>
      <c r="K426" s="240">
        <v>1</v>
      </c>
      <c r="L426" s="240" t="s">
        <v>185</v>
      </c>
      <c r="M426" s="241">
        <f>13000*12/10</f>
        <v>15600</v>
      </c>
      <c r="N426" s="241">
        <f>11500/9*12</f>
        <v>15333.333333333334</v>
      </c>
      <c r="O426" s="241">
        <v>25333.333333333332</v>
      </c>
      <c r="P426" s="242">
        <v>25600</v>
      </c>
      <c r="Q426" s="243">
        <v>14600</v>
      </c>
      <c r="R426" s="145">
        <v>6000</v>
      </c>
      <c r="S426" s="244">
        <v>1</v>
      </c>
      <c r="T426" s="98">
        <f t="shared" si="128"/>
        <v>6000</v>
      </c>
      <c r="U426" s="245">
        <v>0</v>
      </c>
      <c r="V426" s="100">
        <f t="shared" si="129"/>
        <v>0</v>
      </c>
      <c r="W426" s="246"/>
      <c r="X426" s="247"/>
      <c r="Y426" s="248"/>
      <c r="Z426" s="248"/>
      <c r="AA426" s="245">
        <v>0</v>
      </c>
      <c r="AB426" s="100">
        <f t="shared" si="130"/>
        <v>0</v>
      </c>
      <c r="AC426" s="249"/>
      <c r="AD426" s="250"/>
      <c r="AE426" s="250"/>
      <c r="AF426" s="250"/>
      <c r="AG426" s="245">
        <v>6000</v>
      </c>
      <c r="AH426" s="100">
        <f t="shared" si="131"/>
        <v>6000</v>
      </c>
      <c r="AI426" s="251"/>
      <c r="AJ426" s="252"/>
      <c r="AK426" s="252"/>
      <c r="AL426" s="252"/>
      <c r="AM426" s="245">
        <v>0</v>
      </c>
      <c r="AN426" s="100">
        <f t="shared" si="132"/>
        <v>0</v>
      </c>
      <c r="AO426" s="108">
        <f t="shared" si="133"/>
        <v>6000</v>
      </c>
    </row>
    <row r="427" spans="1:50" s="253" customFormat="1" ht="20.45" customHeight="1">
      <c r="A427" s="85" t="s">
        <v>1698</v>
      </c>
      <c r="B427" s="86">
        <v>15</v>
      </c>
      <c r="C427" s="87">
        <v>385420</v>
      </c>
      <c r="D427" s="88">
        <v>276595</v>
      </c>
      <c r="E427" s="88"/>
      <c r="F427" s="117" t="s">
        <v>1699</v>
      </c>
      <c r="G427" s="113" t="s">
        <v>1700</v>
      </c>
      <c r="H427" s="113"/>
      <c r="I427" s="113">
        <v>2</v>
      </c>
      <c r="J427" s="114" t="s">
        <v>83</v>
      </c>
      <c r="K427" s="92">
        <v>1000</v>
      </c>
      <c r="L427" s="93" t="s">
        <v>84</v>
      </c>
      <c r="M427" s="116">
        <v>0</v>
      </c>
      <c r="N427" s="116">
        <v>0</v>
      </c>
      <c r="O427" s="116">
        <v>0</v>
      </c>
      <c r="P427" s="94">
        <v>105</v>
      </c>
      <c r="Q427" s="95">
        <v>0</v>
      </c>
      <c r="R427" s="96">
        <v>105</v>
      </c>
      <c r="S427" s="97">
        <v>316</v>
      </c>
      <c r="T427" s="98">
        <f t="shared" si="128"/>
        <v>33180</v>
      </c>
      <c r="U427" s="99">
        <v>45</v>
      </c>
      <c r="V427" s="100">
        <f t="shared" si="129"/>
        <v>14220</v>
      </c>
      <c r="W427" s="101">
        <f>20+25</f>
        <v>45</v>
      </c>
      <c r="X427" s="102" t="s">
        <v>249</v>
      </c>
      <c r="Y427" s="103">
        <v>298</v>
      </c>
      <c r="Z427" s="103">
        <f>Y427*W427</f>
        <v>13410</v>
      </c>
      <c r="AA427" s="99">
        <v>20</v>
      </c>
      <c r="AB427" s="100">
        <f t="shared" si="130"/>
        <v>6320</v>
      </c>
      <c r="AC427" s="104">
        <v>20</v>
      </c>
      <c r="AD427" s="105" t="s">
        <v>249</v>
      </c>
      <c r="AE427" s="105">
        <v>298</v>
      </c>
      <c r="AF427" s="105">
        <f>AE427*AC427</f>
        <v>5960</v>
      </c>
      <c r="AG427" s="99">
        <v>20</v>
      </c>
      <c r="AH427" s="100">
        <f t="shared" si="131"/>
        <v>6320</v>
      </c>
      <c r="AI427" s="106">
        <v>20</v>
      </c>
      <c r="AJ427" s="107" t="s">
        <v>232</v>
      </c>
      <c r="AK427" s="107">
        <f>316</f>
        <v>316</v>
      </c>
      <c r="AL427" s="107">
        <f>AK427*AI427</f>
        <v>6320</v>
      </c>
      <c r="AM427" s="99">
        <v>20</v>
      </c>
      <c r="AN427" s="100">
        <f t="shared" si="132"/>
        <v>6320</v>
      </c>
      <c r="AO427" s="108">
        <f t="shared" si="133"/>
        <v>105</v>
      </c>
      <c r="AP427" s="3"/>
      <c r="AQ427" s="3"/>
      <c r="AR427" s="3"/>
      <c r="AS427" s="3"/>
      <c r="AT427" s="3"/>
      <c r="AU427" s="3"/>
      <c r="AV427" s="3"/>
      <c r="AW427" s="3"/>
      <c r="AX427" s="3"/>
    </row>
    <row r="428" spans="1:50" ht="20.45" customHeight="1">
      <c r="A428" s="85" t="s">
        <v>1701</v>
      </c>
      <c r="B428" s="86">
        <v>16</v>
      </c>
      <c r="C428" s="87" t="s">
        <v>1702</v>
      </c>
      <c r="D428" s="88">
        <v>770144</v>
      </c>
      <c r="E428" s="88"/>
      <c r="F428" s="89" t="s">
        <v>1703</v>
      </c>
      <c r="G428" s="109" t="s">
        <v>1704</v>
      </c>
      <c r="H428" s="109"/>
      <c r="I428" s="154">
        <v>2</v>
      </c>
      <c r="J428" s="92" t="s">
        <v>88</v>
      </c>
      <c r="K428" s="93">
        <v>1</v>
      </c>
      <c r="L428" s="93" t="s">
        <v>73</v>
      </c>
      <c r="M428" s="116">
        <f>365/10*12</f>
        <v>438</v>
      </c>
      <c r="N428" s="116">
        <f>344/9*12</f>
        <v>458.66666666666663</v>
      </c>
      <c r="O428" s="116">
        <v>182.66666666666666</v>
      </c>
      <c r="P428" s="94">
        <v>600</v>
      </c>
      <c r="Q428" s="95">
        <v>600</v>
      </c>
      <c r="R428" s="96">
        <f>P428-Q428</f>
        <v>0</v>
      </c>
      <c r="S428" s="125">
        <v>3.5</v>
      </c>
      <c r="T428" s="98">
        <f t="shared" si="128"/>
        <v>0</v>
      </c>
      <c r="U428" s="99">
        <v>0</v>
      </c>
      <c r="V428" s="100">
        <f t="shared" si="129"/>
        <v>0</v>
      </c>
      <c r="W428" s="101"/>
      <c r="X428" s="102"/>
      <c r="Y428" s="103"/>
      <c r="Z428" s="103">
        <f>Y428*W428</f>
        <v>0</v>
      </c>
      <c r="AA428" s="99">
        <v>0</v>
      </c>
      <c r="AB428" s="100">
        <f t="shared" si="130"/>
        <v>0</v>
      </c>
      <c r="AC428" s="104"/>
      <c r="AD428" s="105"/>
      <c r="AE428" s="105"/>
      <c r="AF428" s="105">
        <f>AE428*AC428</f>
        <v>0</v>
      </c>
      <c r="AG428" s="99">
        <v>0</v>
      </c>
      <c r="AH428" s="100">
        <f t="shared" si="131"/>
        <v>0</v>
      </c>
      <c r="AI428" s="106"/>
      <c r="AJ428" s="107"/>
      <c r="AK428" s="107"/>
      <c r="AL428" s="107"/>
      <c r="AM428" s="99">
        <v>0</v>
      </c>
      <c r="AN428" s="100">
        <f t="shared" si="132"/>
        <v>0</v>
      </c>
      <c r="AO428" s="108">
        <f t="shared" si="133"/>
        <v>0</v>
      </c>
    </row>
    <row r="429" spans="1:50" ht="20.45" customHeight="1">
      <c r="A429" s="85"/>
      <c r="B429" s="86"/>
      <c r="C429" s="87"/>
      <c r="D429" s="88"/>
      <c r="E429" s="88"/>
      <c r="F429" s="89"/>
      <c r="G429" s="109" t="s">
        <v>1705</v>
      </c>
      <c r="H429" s="109"/>
      <c r="I429" s="154"/>
      <c r="J429" s="92"/>
      <c r="K429" s="93"/>
      <c r="L429" s="93"/>
      <c r="M429" s="116"/>
      <c r="N429" s="116"/>
      <c r="O429" s="116"/>
      <c r="P429" s="94"/>
      <c r="Q429" s="95"/>
      <c r="R429" s="96"/>
      <c r="S429" s="125"/>
      <c r="T429" s="159"/>
      <c r="U429" s="99"/>
      <c r="V429" s="100"/>
      <c r="W429" s="101"/>
      <c r="X429" s="102"/>
      <c r="Y429" s="103"/>
      <c r="Z429" s="103"/>
      <c r="AA429" s="99"/>
      <c r="AB429" s="100"/>
      <c r="AC429" s="104"/>
      <c r="AD429" s="105"/>
      <c r="AE429" s="105"/>
      <c r="AF429" s="105"/>
      <c r="AG429" s="99"/>
      <c r="AH429" s="100"/>
      <c r="AI429" s="106"/>
      <c r="AJ429" s="107"/>
      <c r="AK429" s="107"/>
      <c r="AL429" s="107"/>
      <c r="AM429" s="99"/>
      <c r="AN429" s="100"/>
      <c r="AO429" s="108"/>
    </row>
    <row r="430" spans="1:50" ht="20.45" customHeight="1">
      <c r="A430" s="85">
        <v>2478</v>
      </c>
      <c r="B430" s="86">
        <v>17</v>
      </c>
      <c r="C430" s="87">
        <v>687219</v>
      </c>
      <c r="D430" s="88">
        <v>687196</v>
      </c>
      <c r="E430" s="88"/>
      <c r="F430" s="128" t="s">
        <v>1706</v>
      </c>
      <c r="G430" s="109" t="s">
        <v>1707</v>
      </c>
      <c r="H430" s="109" t="s">
        <v>1482</v>
      </c>
      <c r="I430" s="91">
        <v>2</v>
      </c>
      <c r="J430" s="92" t="s">
        <v>83</v>
      </c>
      <c r="K430" s="93">
        <v>30</v>
      </c>
      <c r="L430" s="93" t="s">
        <v>84</v>
      </c>
      <c r="M430" s="207">
        <v>0</v>
      </c>
      <c r="N430" s="207">
        <v>0</v>
      </c>
      <c r="O430" s="207">
        <v>0</v>
      </c>
      <c r="P430" s="94">
        <v>12</v>
      </c>
      <c r="Q430" s="208">
        <v>0</v>
      </c>
      <c r="R430" s="145">
        <v>6</v>
      </c>
      <c r="S430" s="210">
        <v>684.8</v>
      </c>
      <c r="T430" s="98">
        <f>S430*R430</f>
        <v>4108.7999999999993</v>
      </c>
      <c r="U430" s="254">
        <v>0</v>
      </c>
      <c r="V430" s="100">
        <f>U430*S430</f>
        <v>0</v>
      </c>
      <c r="W430" s="101"/>
      <c r="X430" s="102"/>
      <c r="Y430" s="103"/>
      <c r="Z430" s="103"/>
      <c r="AA430" s="209"/>
      <c r="AB430" s="100">
        <f>AA430*S430</f>
        <v>0</v>
      </c>
      <c r="AC430" s="104"/>
      <c r="AD430" s="105"/>
      <c r="AE430" s="105"/>
      <c r="AF430" s="105"/>
      <c r="AG430" s="209">
        <v>6</v>
      </c>
      <c r="AH430" s="100">
        <f>S430*AG430</f>
        <v>4108.7999999999993</v>
      </c>
      <c r="AI430" s="106"/>
      <c r="AJ430" s="107"/>
      <c r="AK430" s="107"/>
      <c r="AL430" s="107"/>
      <c r="AM430" s="209">
        <v>0</v>
      </c>
      <c r="AN430" s="100">
        <f>S430*AM430</f>
        <v>0</v>
      </c>
      <c r="AO430" s="108">
        <f>U430+AA430+AG430+AM430</f>
        <v>6</v>
      </c>
    </row>
    <row r="431" spans="1:50" ht="20.45" customHeight="1">
      <c r="A431" s="85" t="s">
        <v>1708</v>
      </c>
      <c r="B431" s="86">
        <v>18</v>
      </c>
      <c r="C431" s="87">
        <v>1037917</v>
      </c>
      <c r="D431" s="88">
        <v>670763</v>
      </c>
      <c r="E431" s="88"/>
      <c r="F431" s="117" t="s">
        <v>1709</v>
      </c>
      <c r="G431" s="109" t="s">
        <v>1710</v>
      </c>
      <c r="H431" s="109"/>
      <c r="I431" s="109">
        <v>2</v>
      </c>
      <c r="J431" s="92" t="s">
        <v>83</v>
      </c>
      <c r="K431" s="93">
        <v>100</v>
      </c>
      <c r="L431" s="93" t="s">
        <v>84</v>
      </c>
      <c r="M431" s="211"/>
      <c r="N431" s="211"/>
      <c r="O431" s="211"/>
      <c r="P431" s="94"/>
      <c r="Q431" s="95"/>
      <c r="R431" s="112">
        <v>6</v>
      </c>
      <c r="S431" s="97">
        <v>535</v>
      </c>
      <c r="T431" s="98">
        <f>S431*R431</f>
        <v>3210</v>
      </c>
      <c r="U431" s="99">
        <v>3</v>
      </c>
      <c r="V431" s="100">
        <f>U431*S431</f>
        <v>1605</v>
      </c>
      <c r="W431" s="101">
        <v>3</v>
      </c>
      <c r="X431" s="102" t="s">
        <v>1105</v>
      </c>
      <c r="Y431" s="103">
        <v>535</v>
      </c>
      <c r="Z431" s="103">
        <f>Y431*W431</f>
        <v>1605</v>
      </c>
      <c r="AA431" s="99">
        <v>0</v>
      </c>
      <c r="AB431" s="100">
        <f>AA431*S431</f>
        <v>0</v>
      </c>
      <c r="AC431" s="104"/>
      <c r="AD431" s="105"/>
      <c r="AE431" s="105"/>
      <c r="AF431" s="105">
        <f>AE431*AC431</f>
        <v>0</v>
      </c>
      <c r="AG431" s="99">
        <v>3</v>
      </c>
      <c r="AH431" s="100">
        <f>S431*AG431</f>
        <v>1605</v>
      </c>
      <c r="AI431" s="106"/>
      <c r="AJ431" s="107"/>
      <c r="AK431" s="107"/>
      <c r="AL431" s="107"/>
      <c r="AM431" s="99">
        <v>0</v>
      </c>
      <c r="AN431" s="100">
        <f>S431*AM431</f>
        <v>0</v>
      </c>
      <c r="AO431" s="108">
        <f>U431+AA431+AG431+AM431</f>
        <v>6</v>
      </c>
    </row>
    <row r="432" spans="1:50" ht="20.45" customHeight="1">
      <c r="A432" s="140"/>
      <c r="B432" s="91"/>
      <c r="C432" s="201"/>
      <c r="D432" s="202"/>
      <c r="E432" s="202"/>
      <c r="F432" s="255"/>
      <c r="G432" s="109"/>
      <c r="H432" s="109"/>
      <c r="I432" s="91"/>
      <c r="J432" s="92"/>
      <c r="K432" s="93"/>
      <c r="L432" s="93"/>
      <c r="M432" s="207"/>
      <c r="N432" s="207"/>
      <c r="O432" s="207"/>
      <c r="P432" s="94"/>
      <c r="Q432" s="208"/>
      <c r="R432" s="96"/>
      <c r="S432" s="210"/>
      <c r="T432" s="159"/>
      <c r="U432" s="254"/>
      <c r="V432" s="256"/>
      <c r="W432" s="257"/>
      <c r="X432" s="258"/>
      <c r="Y432" s="259"/>
      <c r="Z432" s="259"/>
      <c r="AA432" s="209"/>
      <c r="AB432" s="100"/>
      <c r="AC432" s="104"/>
      <c r="AD432" s="105"/>
      <c r="AE432" s="105"/>
      <c r="AF432" s="105"/>
      <c r="AG432" s="209"/>
      <c r="AH432" s="100"/>
      <c r="AI432" s="106"/>
      <c r="AJ432" s="107"/>
      <c r="AK432" s="107"/>
      <c r="AL432" s="107"/>
      <c r="AM432" s="209"/>
      <c r="AN432" s="100"/>
    </row>
    <row r="433" spans="1:41" ht="20.45" customHeight="1">
      <c r="A433" s="200"/>
      <c r="B433" s="91"/>
      <c r="C433" s="201"/>
      <c r="D433" s="202"/>
      <c r="E433" s="202"/>
      <c r="F433" s="216"/>
      <c r="G433" s="213" t="s">
        <v>1711</v>
      </c>
      <c r="H433" s="109"/>
      <c r="I433" s="154"/>
      <c r="J433" s="92"/>
      <c r="K433" s="93"/>
      <c r="L433" s="93"/>
      <c r="M433" s="116"/>
      <c r="N433" s="116"/>
      <c r="O433" s="116"/>
      <c r="P433" s="94"/>
      <c r="Q433" s="95"/>
      <c r="R433" s="96">
        <f>P433-Q433</f>
        <v>0</v>
      </c>
      <c r="S433" s="97"/>
      <c r="T433" s="98"/>
      <c r="U433" s="99"/>
      <c r="V433" s="100"/>
      <c r="W433" s="101"/>
      <c r="X433" s="102"/>
      <c r="Y433" s="103"/>
      <c r="Z433" s="103"/>
      <c r="AA433" s="99"/>
      <c r="AB433" s="100"/>
      <c r="AC433" s="104"/>
      <c r="AD433" s="105"/>
      <c r="AE433" s="105"/>
      <c r="AF433" s="105"/>
      <c r="AG433" s="99"/>
      <c r="AH433" s="100"/>
      <c r="AI433" s="106"/>
      <c r="AJ433" s="107"/>
      <c r="AK433" s="107"/>
      <c r="AL433" s="107"/>
      <c r="AM433" s="99"/>
      <c r="AN433" s="100"/>
      <c r="AO433" s="108"/>
    </row>
    <row r="434" spans="1:41" ht="20.45" customHeight="1">
      <c r="A434" s="200" t="s">
        <v>1712</v>
      </c>
      <c r="B434" s="91">
        <v>2</v>
      </c>
      <c r="C434" s="201">
        <v>9369260</v>
      </c>
      <c r="D434" s="202"/>
      <c r="E434" s="202"/>
      <c r="F434" s="216" t="s">
        <v>1713</v>
      </c>
      <c r="G434" s="109" t="s">
        <v>1714</v>
      </c>
      <c r="H434" s="215" t="s">
        <v>1540</v>
      </c>
      <c r="I434" s="91">
        <v>2</v>
      </c>
      <c r="J434" s="92" t="s">
        <v>94</v>
      </c>
      <c r="K434" s="93">
        <v>1</v>
      </c>
      <c r="L434" s="93" t="s">
        <v>1572</v>
      </c>
      <c r="M434" s="116">
        <f>358/10*12</f>
        <v>429.59999999999997</v>
      </c>
      <c r="N434" s="116">
        <f>315/9*12</f>
        <v>420</v>
      </c>
      <c r="O434" s="116">
        <v>394.66666666666669</v>
      </c>
      <c r="P434" s="94">
        <v>400</v>
      </c>
      <c r="Q434" s="95">
        <v>0</v>
      </c>
      <c r="R434" s="96">
        <f>P434-Q434</f>
        <v>400</v>
      </c>
      <c r="S434" s="97">
        <v>50</v>
      </c>
      <c r="T434" s="98">
        <f t="shared" ref="T434:T439" si="135">S434*R434</f>
        <v>20000</v>
      </c>
      <c r="U434" s="99">
        <v>100</v>
      </c>
      <c r="V434" s="100">
        <f t="shared" ref="V434:V439" si="136">U434*S434</f>
        <v>5000</v>
      </c>
      <c r="W434" s="101">
        <v>100</v>
      </c>
      <c r="X434" s="102" t="s">
        <v>1585</v>
      </c>
      <c r="Y434" s="103">
        <v>50</v>
      </c>
      <c r="Z434" s="103">
        <f>Y434*W434</f>
        <v>5000</v>
      </c>
      <c r="AA434" s="99">
        <v>100</v>
      </c>
      <c r="AB434" s="100">
        <f>AA434*S434</f>
        <v>5000</v>
      </c>
      <c r="AC434" s="104">
        <v>100</v>
      </c>
      <c r="AD434" s="105" t="s">
        <v>1585</v>
      </c>
      <c r="AE434" s="105">
        <v>50</v>
      </c>
      <c r="AF434" s="105">
        <f>AE434*AC434</f>
        <v>5000</v>
      </c>
      <c r="AG434" s="99">
        <v>100</v>
      </c>
      <c r="AH434" s="100">
        <f>S434*AG434</f>
        <v>5000</v>
      </c>
      <c r="AI434" s="106">
        <v>250</v>
      </c>
      <c r="AJ434" s="107" t="s">
        <v>1585</v>
      </c>
      <c r="AK434" s="107">
        <v>50</v>
      </c>
      <c r="AL434" s="107">
        <f>AK434*AI434</f>
        <v>12500</v>
      </c>
      <c r="AM434" s="99">
        <v>100</v>
      </c>
      <c r="AN434" s="100">
        <f>S434*AM434</f>
        <v>5000</v>
      </c>
      <c r="AO434" s="108">
        <f t="shared" ref="AO434:AO439" si="137">U434+AA434+AG434+AM434</f>
        <v>400</v>
      </c>
    </row>
    <row r="435" spans="1:41" ht="20.45" customHeight="1">
      <c r="A435" s="260"/>
      <c r="F435" s="261"/>
      <c r="G435" s="262" t="s">
        <v>1715</v>
      </c>
      <c r="H435" s="263"/>
      <c r="M435" s="264"/>
      <c r="N435" s="264"/>
      <c r="O435" s="264"/>
      <c r="P435" s="242"/>
      <c r="Q435" s="265"/>
      <c r="R435" s="266"/>
      <c r="S435" s="267"/>
      <c r="T435" s="268"/>
      <c r="U435" s="99"/>
      <c r="V435" s="100"/>
      <c r="W435" s="101"/>
      <c r="X435" s="102"/>
      <c r="Y435" s="103"/>
      <c r="Z435" s="103"/>
      <c r="AA435" s="99"/>
      <c r="AB435" s="100"/>
      <c r="AC435" s="104"/>
      <c r="AD435" s="105"/>
      <c r="AE435" s="105"/>
      <c r="AF435" s="105"/>
      <c r="AG435" s="99"/>
      <c r="AH435" s="100"/>
      <c r="AI435" s="106"/>
      <c r="AJ435" s="107"/>
      <c r="AK435" s="107"/>
      <c r="AL435" s="107"/>
      <c r="AM435" s="99"/>
      <c r="AN435" s="100"/>
      <c r="AO435" s="108">
        <f t="shared" si="137"/>
        <v>0</v>
      </c>
    </row>
    <row r="436" spans="1:41" ht="20.45" customHeight="1">
      <c r="A436" s="200" t="s">
        <v>1716</v>
      </c>
      <c r="B436" s="91">
        <v>1</v>
      </c>
      <c r="C436" s="201"/>
      <c r="D436" s="202"/>
      <c r="E436" s="202"/>
      <c r="F436" s="216"/>
      <c r="G436" s="109" t="s">
        <v>1717</v>
      </c>
      <c r="H436" s="215"/>
      <c r="I436" s="91"/>
      <c r="J436" s="93"/>
      <c r="K436" s="93" t="s">
        <v>1718</v>
      </c>
      <c r="L436" s="93" t="s">
        <v>52</v>
      </c>
      <c r="M436" s="116">
        <v>20</v>
      </c>
      <c r="N436" s="116">
        <v>20</v>
      </c>
      <c r="O436" s="116">
        <v>10.666666666666666</v>
      </c>
      <c r="P436" s="116">
        <v>16</v>
      </c>
      <c r="Q436" s="95">
        <v>0</v>
      </c>
      <c r="R436" s="96">
        <f>P436-Q436</f>
        <v>16</v>
      </c>
      <c r="S436" s="97">
        <v>2000</v>
      </c>
      <c r="T436" s="98">
        <f t="shared" si="135"/>
        <v>32000</v>
      </c>
      <c r="U436" s="99">
        <v>8</v>
      </c>
      <c r="V436" s="100">
        <f t="shared" si="136"/>
        <v>16000</v>
      </c>
      <c r="W436" s="101"/>
      <c r="X436" s="102"/>
      <c r="Y436" s="103"/>
      <c r="Z436" s="103"/>
      <c r="AA436" s="99">
        <v>0</v>
      </c>
      <c r="AB436" s="100">
        <f>AA436*S436</f>
        <v>0</v>
      </c>
      <c r="AC436" s="104"/>
      <c r="AD436" s="105"/>
      <c r="AE436" s="105"/>
      <c r="AF436" s="105"/>
      <c r="AG436" s="99">
        <v>8</v>
      </c>
      <c r="AH436" s="100">
        <f>S436*AG436</f>
        <v>16000</v>
      </c>
      <c r="AI436" s="106"/>
      <c r="AJ436" s="107"/>
      <c r="AK436" s="107"/>
      <c r="AL436" s="107"/>
      <c r="AM436" s="99">
        <v>0</v>
      </c>
      <c r="AN436" s="100">
        <f>S436*AM436</f>
        <v>0</v>
      </c>
      <c r="AO436" s="108">
        <f t="shared" si="137"/>
        <v>16</v>
      </c>
    </row>
    <row r="437" spans="1:41" ht="20.45" customHeight="1">
      <c r="A437" s="200" t="s">
        <v>1719</v>
      </c>
      <c r="B437" s="91">
        <v>2</v>
      </c>
      <c r="C437" s="201"/>
      <c r="D437" s="202"/>
      <c r="E437" s="202"/>
      <c r="F437" s="216"/>
      <c r="G437" s="109" t="s">
        <v>1720</v>
      </c>
      <c r="H437" s="215"/>
      <c r="I437" s="91"/>
      <c r="J437" s="93"/>
      <c r="K437" s="93" t="s">
        <v>1718</v>
      </c>
      <c r="L437" s="93" t="s">
        <v>52</v>
      </c>
      <c r="M437" s="116">
        <v>12</v>
      </c>
      <c r="N437" s="116">
        <v>12</v>
      </c>
      <c r="O437" s="116">
        <v>10.666666666666666</v>
      </c>
      <c r="P437" s="116">
        <v>16</v>
      </c>
      <c r="Q437" s="95">
        <v>0</v>
      </c>
      <c r="R437" s="96">
        <f>P437-Q437</f>
        <v>16</v>
      </c>
      <c r="S437" s="97">
        <v>550</v>
      </c>
      <c r="T437" s="98">
        <f t="shared" si="135"/>
        <v>8800</v>
      </c>
      <c r="U437" s="99">
        <v>8</v>
      </c>
      <c r="V437" s="100">
        <f t="shared" si="136"/>
        <v>4400</v>
      </c>
      <c r="W437" s="101"/>
      <c r="X437" s="102"/>
      <c r="Y437" s="103"/>
      <c r="Z437" s="103"/>
      <c r="AA437" s="99">
        <v>0</v>
      </c>
      <c r="AB437" s="100">
        <f>AA437*S437</f>
        <v>0</v>
      </c>
      <c r="AC437" s="104"/>
      <c r="AD437" s="105"/>
      <c r="AE437" s="105"/>
      <c r="AF437" s="105"/>
      <c r="AG437" s="99">
        <v>8</v>
      </c>
      <c r="AH437" s="100">
        <f>S437*AG437</f>
        <v>4400</v>
      </c>
      <c r="AI437" s="106"/>
      <c r="AJ437" s="107"/>
      <c r="AK437" s="107"/>
      <c r="AL437" s="107"/>
      <c r="AM437" s="99">
        <v>0</v>
      </c>
      <c r="AN437" s="100">
        <f>S437*AM437</f>
        <v>0</v>
      </c>
      <c r="AO437" s="108">
        <f t="shared" si="137"/>
        <v>16</v>
      </c>
    </row>
    <row r="438" spans="1:41" ht="20.45" customHeight="1">
      <c r="A438" s="200" t="s">
        <v>1721</v>
      </c>
      <c r="B438" s="91">
        <v>3</v>
      </c>
      <c r="C438" s="201"/>
      <c r="D438" s="202"/>
      <c r="E438" s="202"/>
      <c r="F438" s="216"/>
      <c r="G438" s="109" t="s">
        <v>1722</v>
      </c>
      <c r="H438" s="215"/>
      <c r="I438" s="91"/>
      <c r="J438" s="93"/>
      <c r="K438" s="93">
        <v>1</v>
      </c>
      <c r="L438" s="93" t="s">
        <v>1723</v>
      </c>
      <c r="M438" s="116">
        <v>10</v>
      </c>
      <c r="N438" s="116">
        <v>10</v>
      </c>
      <c r="O438" s="116">
        <v>13.333333333333334</v>
      </c>
      <c r="P438" s="116">
        <v>16</v>
      </c>
      <c r="Q438" s="95">
        <v>0</v>
      </c>
      <c r="R438" s="96">
        <f>P438-Q438</f>
        <v>16</v>
      </c>
      <c r="S438" s="97">
        <v>800</v>
      </c>
      <c r="T438" s="98">
        <f t="shared" si="135"/>
        <v>12800</v>
      </c>
      <c r="U438" s="99">
        <v>8</v>
      </c>
      <c r="V438" s="100">
        <f t="shared" si="136"/>
        <v>6400</v>
      </c>
      <c r="W438" s="101"/>
      <c r="X438" s="102"/>
      <c r="Y438" s="103"/>
      <c r="Z438" s="103"/>
      <c r="AA438" s="99">
        <v>0</v>
      </c>
      <c r="AB438" s="100">
        <f>AA438*S438</f>
        <v>0</v>
      </c>
      <c r="AC438" s="104"/>
      <c r="AD438" s="105"/>
      <c r="AE438" s="105"/>
      <c r="AF438" s="105"/>
      <c r="AG438" s="99">
        <v>8</v>
      </c>
      <c r="AH438" s="100">
        <f>S438*AG438</f>
        <v>6400</v>
      </c>
      <c r="AI438" s="106"/>
      <c r="AJ438" s="107"/>
      <c r="AK438" s="107"/>
      <c r="AL438" s="107"/>
      <c r="AM438" s="99">
        <v>0</v>
      </c>
      <c r="AN438" s="100">
        <f>S438*AM438</f>
        <v>0</v>
      </c>
      <c r="AO438" s="108">
        <f t="shared" si="137"/>
        <v>16</v>
      </c>
    </row>
    <row r="439" spans="1:41" ht="20.45" customHeight="1">
      <c r="A439" s="200" t="s">
        <v>1724</v>
      </c>
      <c r="B439" s="91">
        <v>4</v>
      </c>
      <c r="C439" s="201"/>
      <c r="D439" s="202"/>
      <c r="E439" s="202"/>
      <c r="F439" s="216"/>
      <c r="G439" s="109" t="s">
        <v>1725</v>
      </c>
      <c r="H439" s="215"/>
      <c r="I439" s="91"/>
      <c r="J439" s="93"/>
      <c r="K439" s="93">
        <v>1</v>
      </c>
      <c r="L439" s="93" t="s">
        <v>1726</v>
      </c>
      <c r="M439" s="116">
        <v>12</v>
      </c>
      <c r="N439" s="116">
        <v>10</v>
      </c>
      <c r="O439" s="116">
        <v>10.666666666666666</v>
      </c>
      <c r="P439" s="116">
        <v>16</v>
      </c>
      <c r="Q439" s="95">
        <v>0</v>
      </c>
      <c r="R439" s="96">
        <f>P439-Q439</f>
        <v>16</v>
      </c>
      <c r="S439" s="97">
        <v>1400</v>
      </c>
      <c r="T439" s="98">
        <f t="shared" si="135"/>
        <v>22400</v>
      </c>
      <c r="U439" s="99">
        <v>8</v>
      </c>
      <c r="V439" s="100">
        <f t="shared" si="136"/>
        <v>11200</v>
      </c>
      <c r="W439" s="101"/>
      <c r="X439" s="102"/>
      <c r="Y439" s="103"/>
      <c r="Z439" s="103"/>
      <c r="AA439" s="99">
        <v>0</v>
      </c>
      <c r="AB439" s="100">
        <f>AA439*S439</f>
        <v>0</v>
      </c>
      <c r="AC439" s="104"/>
      <c r="AD439" s="105"/>
      <c r="AE439" s="105"/>
      <c r="AF439" s="105"/>
      <c r="AG439" s="99">
        <v>8</v>
      </c>
      <c r="AH439" s="100">
        <f>S439*AG439</f>
        <v>11200</v>
      </c>
      <c r="AI439" s="106"/>
      <c r="AJ439" s="107"/>
      <c r="AK439" s="107"/>
      <c r="AL439" s="107"/>
      <c r="AM439" s="99">
        <v>0</v>
      </c>
      <c r="AN439" s="100">
        <f>S439*AM439</f>
        <v>0</v>
      </c>
      <c r="AO439" s="108">
        <f t="shared" si="137"/>
        <v>16</v>
      </c>
    </row>
    <row r="440" spans="1:41" ht="20.45" customHeight="1">
      <c r="A440" s="260"/>
      <c r="F440" s="261"/>
      <c r="H440" s="263"/>
      <c r="M440" s="264"/>
      <c r="N440" s="264"/>
      <c r="O440" s="264"/>
      <c r="P440" s="264"/>
      <c r="Q440" s="265"/>
      <c r="R440" s="269"/>
      <c r="S440" s="267"/>
      <c r="T440" s="159">
        <f>SUM(T8:T439)</f>
        <v>27036181.148399994</v>
      </c>
      <c r="U440" s="99"/>
      <c r="V440" s="100"/>
      <c r="W440" s="101"/>
      <c r="X440" s="102"/>
      <c r="Y440" s="103"/>
      <c r="Z440" s="103"/>
      <c r="AA440" s="99"/>
      <c r="AB440" s="100"/>
      <c r="AC440" s="100"/>
      <c r="AD440" s="100"/>
      <c r="AE440" s="100"/>
      <c r="AF440" s="120"/>
      <c r="AG440" s="99"/>
      <c r="AH440" s="100"/>
      <c r="AI440" s="106"/>
      <c r="AJ440" s="107"/>
      <c r="AK440" s="107"/>
      <c r="AL440" s="107"/>
      <c r="AM440" s="99"/>
      <c r="AN440" s="100"/>
      <c r="AO440" s="108"/>
    </row>
    <row r="441" spans="1:41" s="253" customFormat="1">
      <c r="A441" s="260"/>
      <c r="B441" s="4"/>
      <c r="C441" s="5"/>
      <c r="D441" s="6"/>
      <c r="E441" s="6"/>
      <c r="F441" s="261"/>
      <c r="G441" s="8"/>
      <c r="H441" s="8"/>
      <c r="I441" s="4"/>
      <c r="J441" s="9"/>
      <c r="K441" s="10"/>
      <c r="L441" s="10"/>
      <c r="M441" s="264"/>
      <c r="N441" s="264"/>
      <c r="O441" s="264"/>
      <c r="P441" s="264"/>
      <c r="Q441" s="265"/>
      <c r="R441" s="269"/>
      <c r="S441" s="267" t="s">
        <v>1727</v>
      </c>
      <c r="T441" s="98">
        <f>SUM(T8:T440)</f>
        <v>54072362.296799988</v>
      </c>
      <c r="U441" s="98"/>
      <c r="V441" s="98">
        <f>SUM(V8:V440)</f>
        <v>6952874.7517333347</v>
      </c>
      <c r="W441" s="270"/>
      <c r="X441" s="271"/>
      <c r="Y441" s="272"/>
      <c r="Z441" s="159">
        <f>SUM(Z8:Z440)</f>
        <v>6207062.9000000004</v>
      </c>
      <c r="AA441" s="98"/>
      <c r="AB441" s="98">
        <f>SUM(AB8:AB440)</f>
        <v>6582704.6833333327</v>
      </c>
      <c r="AC441" s="98"/>
      <c r="AD441" s="98"/>
      <c r="AE441" s="98"/>
      <c r="AF441" s="159">
        <f>SUM(AF8:AF440)</f>
        <v>6346877.6199999992</v>
      </c>
      <c r="AG441" s="98"/>
      <c r="AH441" s="98">
        <f>SUM(AH8:AH440)</f>
        <v>7067778.9133333331</v>
      </c>
      <c r="AI441" s="273"/>
      <c r="AJ441" s="273"/>
      <c r="AK441" s="273"/>
      <c r="AL441" s="274">
        <f>SUM(AL8:AL440)</f>
        <v>4228359.3499999996</v>
      </c>
      <c r="AM441" s="98"/>
      <c r="AN441" s="98">
        <f>SUM(AN8:AN440)</f>
        <v>6444266.1999999993</v>
      </c>
      <c r="AO441" s="19">
        <f>SUM(V441:AN441)</f>
        <v>43829924.418400005</v>
      </c>
    </row>
    <row r="442" spans="1:41" s="253" customFormat="1">
      <c r="A442" s="260"/>
      <c r="B442" s="4"/>
      <c r="C442" s="5"/>
      <c r="D442" s="6"/>
      <c r="E442" s="6"/>
      <c r="F442" s="261"/>
      <c r="G442" s="8"/>
      <c r="H442" s="8"/>
      <c r="I442" s="4"/>
      <c r="J442" s="9"/>
      <c r="K442" s="10"/>
      <c r="L442" s="10"/>
      <c r="M442" s="264"/>
      <c r="N442" s="264"/>
      <c r="O442" s="264"/>
      <c r="P442" s="264"/>
      <c r="Q442" s="265"/>
      <c r="R442" s="269"/>
      <c r="S442" s="267" t="s">
        <v>1728</v>
      </c>
      <c r="T442" s="275">
        <v>26252050.34666666</v>
      </c>
      <c r="U442" s="275"/>
      <c r="V442" s="275"/>
      <c r="W442" s="276"/>
      <c r="X442" s="277"/>
      <c r="Y442" s="278"/>
      <c r="Z442" s="278"/>
      <c r="AA442" s="275"/>
      <c r="AB442" s="275"/>
      <c r="AC442" s="275"/>
      <c r="AD442" s="275"/>
      <c r="AE442" s="275"/>
      <c r="AF442" s="275"/>
      <c r="AG442" s="275"/>
      <c r="AH442" s="275"/>
      <c r="AI442" s="279"/>
      <c r="AJ442" s="279"/>
      <c r="AK442" s="279"/>
      <c r="AL442" s="279"/>
      <c r="AM442" s="275"/>
      <c r="AN442" s="275"/>
      <c r="AO442" s="9"/>
    </row>
    <row r="443" spans="1:41" s="253" customFormat="1">
      <c r="A443" s="260"/>
      <c r="B443" s="4"/>
      <c r="C443" s="5"/>
      <c r="D443" s="6"/>
      <c r="E443" s="6"/>
      <c r="F443" s="261"/>
      <c r="G443" s="8"/>
      <c r="H443" s="8"/>
      <c r="I443" s="4"/>
      <c r="J443" s="9"/>
      <c r="K443" s="10"/>
      <c r="L443" s="10"/>
      <c r="M443" s="264"/>
      <c r="N443" s="264"/>
      <c r="O443" s="264"/>
      <c r="P443" s="264"/>
      <c r="Q443" s="265"/>
      <c r="R443" s="269"/>
      <c r="S443" s="267"/>
      <c r="T443" s="275">
        <f>V441+AB441+AH441+AN441</f>
        <v>27047624.5484</v>
      </c>
      <c r="U443" s="275"/>
      <c r="V443" s="275"/>
      <c r="W443" s="276"/>
      <c r="X443" s="277"/>
      <c r="Y443" s="278"/>
      <c r="Z443" s="278"/>
      <c r="AA443" s="275"/>
      <c r="AB443" s="275"/>
      <c r="AC443" s="275"/>
      <c r="AD443" s="275"/>
      <c r="AE443" s="275"/>
      <c r="AF443" s="275"/>
      <c r="AG443" s="275"/>
      <c r="AH443" s="275"/>
      <c r="AI443" s="279"/>
      <c r="AJ443" s="279"/>
      <c r="AK443" s="279"/>
      <c r="AL443" s="279"/>
      <c r="AM443" s="275"/>
      <c r="AN443" s="275"/>
      <c r="AO443" s="9"/>
    </row>
    <row r="444" spans="1:41">
      <c r="W444" s="281"/>
      <c r="X444" s="282"/>
      <c r="Y444" s="283"/>
      <c r="Z444" s="283"/>
    </row>
    <row r="445" spans="1:41">
      <c r="S445" s="12" t="s">
        <v>1729</v>
      </c>
      <c r="T445" s="284">
        <f>Z441+AF441</f>
        <v>12553940.52</v>
      </c>
      <c r="W445" s="281"/>
      <c r="X445" s="282"/>
      <c r="Y445" s="283"/>
      <c r="Z445" s="283"/>
    </row>
    <row r="446" spans="1:41">
      <c r="S446" s="12" t="s">
        <v>1730</v>
      </c>
      <c r="T446" s="285">
        <f>T445*100/T441</f>
        <v>23.216926331222901</v>
      </c>
      <c r="W446" s="281"/>
      <c r="X446" s="282"/>
      <c r="Y446" s="283"/>
      <c r="Z446" s="283"/>
    </row>
    <row r="447" spans="1:41">
      <c r="W447" s="281"/>
      <c r="X447" s="282"/>
      <c r="Y447" s="283"/>
      <c r="Z447" s="283"/>
    </row>
    <row r="448" spans="1:41">
      <c r="W448" s="281"/>
      <c r="X448" s="282"/>
      <c r="Y448" s="283"/>
      <c r="Z448" s="283"/>
    </row>
    <row r="449" spans="1:41">
      <c r="W449" s="281"/>
      <c r="X449" s="282"/>
      <c r="Y449" s="283"/>
      <c r="Z449" s="283"/>
    </row>
    <row r="450" spans="1:41">
      <c r="W450" s="281"/>
      <c r="X450" s="282"/>
      <c r="Y450" s="283"/>
      <c r="Z450" s="283"/>
    </row>
    <row r="451" spans="1:41">
      <c r="W451" s="281"/>
      <c r="X451" s="282"/>
      <c r="Y451" s="283"/>
      <c r="Z451" s="283"/>
    </row>
    <row r="452" spans="1:41">
      <c r="W452" s="281"/>
      <c r="X452" s="282"/>
      <c r="Y452" s="283"/>
      <c r="Z452" s="283"/>
    </row>
    <row r="453" spans="1:41">
      <c r="A453" s="8" t="s">
        <v>1731</v>
      </c>
      <c r="R453" s="13" t="s">
        <v>1732</v>
      </c>
      <c r="S453" s="12">
        <v>32</v>
      </c>
      <c r="T453" s="14">
        <v>753896.66666666674</v>
      </c>
      <c r="W453" s="281"/>
      <c r="X453" s="282"/>
      <c r="Y453" s="283"/>
      <c r="Z453" s="283"/>
    </row>
    <row r="454" spans="1:41">
      <c r="A454" s="8" t="s">
        <v>1733</v>
      </c>
      <c r="R454" s="13" t="s">
        <v>1734</v>
      </c>
      <c r="S454" s="12">
        <v>1</v>
      </c>
      <c r="T454" s="14">
        <v>45000</v>
      </c>
      <c r="W454" s="281"/>
      <c r="X454" s="282"/>
      <c r="Y454" s="283"/>
      <c r="Z454" s="283"/>
    </row>
    <row r="455" spans="1:41">
      <c r="S455" s="12" t="s">
        <v>1735</v>
      </c>
      <c r="T455" s="14">
        <f>T453+T454</f>
        <v>798896.66666666674</v>
      </c>
      <c r="U455" s="16">
        <v>0.8</v>
      </c>
      <c r="V455" s="16">
        <f>T455*0.8</f>
        <v>639117.33333333349</v>
      </c>
      <c r="W455" s="281"/>
      <c r="X455" s="282"/>
      <c r="Y455" s="283"/>
      <c r="Z455" s="283"/>
    </row>
    <row r="456" spans="1:41">
      <c r="R456" s="13" t="s">
        <v>1736</v>
      </c>
      <c r="S456" s="12" t="s">
        <v>1052</v>
      </c>
      <c r="W456" s="281"/>
      <c r="X456" s="282"/>
      <c r="Y456" s="283"/>
      <c r="Z456" s="283"/>
    </row>
    <row r="457" spans="1:41">
      <c r="S457" s="12" t="s">
        <v>1737</v>
      </c>
      <c r="W457" s="281"/>
      <c r="X457" s="282"/>
      <c r="Y457" s="283"/>
      <c r="Z457" s="283"/>
    </row>
    <row r="458" spans="1:41" ht="24.75" customHeight="1">
      <c r="A458" s="22"/>
      <c r="B458" s="23" t="s">
        <v>10</v>
      </c>
      <c r="C458" s="24"/>
      <c r="D458" s="25"/>
      <c r="E458" s="25"/>
      <c r="F458" s="26"/>
      <c r="G458" s="27"/>
      <c r="H458" s="28"/>
      <c r="I458" s="29"/>
      <c r="J458" s="30"/>
      <c r="K458" s="30" t="s">
        <v>11</v>
      </c>
      <c r="L458" s="31" t="s">
        <v>12</v>
      </c>
      <c r="M458" s="286"/>
      <c r="N458" s="287"/>
      <c r="O458" s="287"/>
      <c r="P458" s="287"/>
      <c r="Q458" s="34" t="s">
        <v>15</v>
      </c>
      <c r="R458" s="35" t="s">
        <v>16</v>
      </c>
      <c r="S458" s="36" t="s">
        <v>17</v>
      </c>
      <c r="T458" s="37"/>
      <c r="U458" s="323" t="s">
        <v>18</v>
      </c>
      <c r="V458" s="324"/>
      <c r="W458" s="288"/>
      <c r="X458" s="288"/>
      <c r="Y458" s="289"/>
      <c r="Z458" s="289"/>
      <c r="AA458" s="325" t="s">
        <v>19</v>
      </c>
      <c r="AB458" s="326"/>
      <c r="AC458" s="40"/>
      <c r="AD458" s="40"/>
      <c r="AE458" s="40"/>
      <c r="AF458" s="40"/>
      <c r="AG458" s="327" t="s">
        <v>20</v>
      </c>
      <c r="AH458" s="328"/>
      <c r="AI458" s="41"/>
      <c r="AJ458" s="41"/>
      <c r="AK458" s="41"/>
      <c r="AL458" s="41"/>
      <c r="AM458" s="319" t="s">
        <v>21</v>
      </c>
      <c r="AN458" s="320"/>
    </row>
    <row r="459" spans="1:41" ht="23.25" customHeight="1">
      <c r="A459" s="42" t="s">
        <v>22</v>
      </c>
      <c r="B459" s="43" t="s">
        <v>23</v>
      </c>
      <c r="C459" s="44" t="s">
        <v>24</v>
      </c>
      <c r="D459" s="45" t="s">
        <v>25</v>
      </c>
      <c r="E459" s="45"/>
      <c r="F459" s="46" t="s">
        <v>26</v>
      </c>
      <c r="G459" s="47" t="s">
        <v>27</v>
      </c>
      <c r="H459" s="48"/>
      <c r="I459" s="49" t="s">
        <v>28</v>
      </c>
      <c r="J459" s="50" t="s">
        <v>29</v>
      </c>
      <c r="K459" s="50" t="s">
        <v>30</v>
      </c>
      <c r="L459" s="51" t="s">
        <v>30</v>
      </c>
      <c r="M459" s="290"/>
      <c r="N459" s="291"/>
      <c r="O459" s="291"/>
      <c r="P459" s="291"/>
      <c r="Q459" s="56" t="s">
        <v>33</v>
      </c>
      <c r="R459" s="57" t="s">
        <v>1738</v>
      </c>
      <c r="S459" s="58" t="s">
        <v>35</v>
      </c>
      <c r="T459" s="59" t="s">
        <v>36</v>
      </c>
      <c r="U459" s="317"/>
      <c r="V459" s="318"/>
      <c r="W459" s="292"/>
      <c r="X459" s="293"/>
      <c r="Y459" s="294"/>
      <c r="Z459" s="294"/>
      <c r="AA459" s="319"/>
      <c r="AB459" s="320"/>
      <c r="AC459" s="63"/>
      <c r="AD459" s="63"/>
      <c r="AE459" s="63"/>
      <c r="AF459" s="63"/>
      <c r="AG459" s="319"/>
      <c r="AH459" s="320"/>
      <c r="AI459" s="64"/>
      <c r="AJ459" s="64"/>
      <c r="AK459" s="64"/>
      <c r="AL459" s="64"/>
      <c r="AM459" s="65"/>
      <c r="AN459" s="66"/>
    </row>
    <row r="460" spans="1:41" ht="30" customHeight="1">
      <c r="A460" s="67"/>
      <c r="B460" s="68"/>
      <c r="C460" s="44"/>
      <c r="D460" s="45"/>
      <c r="E460" s="45"/>
      <c r="F460" s="46"/>
      <c r="G460" s="69"/>
      <c r="H460" s="70"/>
      <c r="I460" s="49" t="s">
        <v>37</v>
      </c>
      <c r="J460" s="71"/>
      <c r="K460" s="71"/>
      <c r="L460" s="71"/>
      <c r="M460" s="72">
        <v>2566</v>
      </c>
      <c r="N460" s="72">
        <v>2567</v>
      </c>
      <c r="O460" s="72"/>
      <c r="P460" s="72"/>
      <c r="Q460" s="74" t="s">
        <v>39</v>
      </c>
      <c r="R460" s="75" t="s">
        <v>40</v>
      </c>
      <c r="S460" s="76" t="s">
        <v>12</v>
      </c>
      <c r="T460" s="77"/>
      <c r="U460" s="78" t="s">
        <v>41</v>
      </c>
      <c r="V460" s="79" t="s">
        <v>42</v>
      </c>
      <c r="W460" s="80"/>
      <c r="X460" s="81"/>
      <c r="Y460" s="82"/>
      <c r="Z460" s="82"/>
      <c r="AA460" s="78" t="s">
        <v>41</v>
      </c>
      <c r="AB460" s="79" t="s">
        <v>46</v>
      </c>
      <c r="AC460" s="79"/>
      <c r="AD460" s="79"/>
      <c r="AE460" s="79"/>
      <c r="AF460" s="79"/>
      <c r="AG460" s="78" t="s">
        <v>41</v>
      </c>
      <c r="AH460" s="79" t="s">
        <v>46</v>
      </c>
      <c r="AI460" s="84"/>
      <c r="AJ460" s="84"/>
      <c r="AK460" s="84"/>
      <c r="AL460" s="84"/>
      <c r="AM460" s="78" t="s">
        <v>41</v>
      </c>
      <c r="AN460" s="79" t="s">
        <v>46</v>
      </c>
    </row>
    <row r="461" spans="1:41">
      <c r="A461" s="200">
        <v>10953</v>
      </c>
      <c r="B461" s="91">
        <v>1</v>
      </c>
      <c r="C461" s="201"/>
      <c r="D461" s="202"/>
      <c r="E461" s="202"/>
      <c r="F461" s="216" t="s">
        <v>1538</v>
      </c>
      <c r="G461" s="109" t="s">
        <v>1539</v>
      </c>
      <c r="H461" s="215" t="s">
        <v>1540</v>
      </c>
      <c r="I461" s="91">
        <v>1</v>
      </c>
      <c r="J461" s="92" t="s">
        <v>184</v>
      </c>
      <c r="K461" s="93">
        <v>1000</v>
      </c>
      <c r="L461" s="93" t="s">
        <v>185</v>
      </c>
      <c r="M461" s="116">
        <f>34.5*12/10</f>
        <v>41.4</v>
      </c>
      <c r="N461" s="116">
        <f>28/9*12</f>
        <v>37.333333333333336</v>
      </c>
      <c r="O461" s="116"/>
      <c r="P461" s="116"/>
      <c r="Q461" s="95">
        <v>0</v>
      </c>
      <c r="R461" s="96" t="e">
        <f>#REF!-Q461</f>
        <v>#REF!</v>
      </c>
      <c r="S461" s="97">
        <v>700</v>
      </c>
      <c r="T461" s="98" t="e">
        <f t="shared" ref="T461:T468" si="138">S461*R461</f>
        <v>#REF!</v>
      </c>
      <c r="U461" s="99">
        <v>15</v>
      </c>
      <c r="V461" s="100">
        <f t="shared" ref="V461:V468" si="139">U461*S461</f>
        <v>10500</v>
      </c>
      <c r="W461" s="101"/>
      <c r="X461" s="102"/>
      <c r="Y461" s="103"/>
      <c r="Z461" s="103"/>
      <c r="AA461" s="99">
        <v>10</v>
      </c>
      <c r="AB461" s="100">
        <f t="shared" ref="AB461:AB468" si="140">AA461*S461</f>
        <v>7000</v>
      </c>
      <c r="AC461" s="100"/>
      <c r="AD461" s="100"/>
      <c r="AE461" s="100"/>
      <c r="AF461" s="100"/>
      <c r="AG461" s="99">
        <v>10</v>
      </c>
      <c r="AH461" s="100">
        <f t="shared" ref="AH461:AH468" si="141">S461*AG461</f>
        <v>7000</v>
      </c>
      <c r="AI461" s="107"/>
      <c r="AJ461" s="107"/>
      <c r="AK461" s="107"/>
      <c r="AL461" s="107"/>
      <c r="AM461" s="99">
        <v>10</v>
      </c>
      <c r="AN461" s="100">
        <f t="shared" ref="AN461:AN468" si="142">S461*AM461</f>
        <v>7000</v>
      </c>
      <c r="AO461" s="108">
        <f t="shared" ref="AO461:AO468" si="143">U461+AA461+AG461+AM461</f>
        <v>45</v>
      </c>
    </row>
    <row r="462" spans="1:41">
      <c r="A462" s="200">
        <v>10953</v>
      </c>
      <c r="B462" s="91">
        <v>3</v>
      </c>
      <c r="C462" s="201"/>
      <c r="D462" s="202"/>
      <c r="E462" s="202"/>
      <c r="F462" s="216" t="s">
        <v>1547</v>
      </c>
      <c r="G462" s="109" t="s">
        <v>1548</v>
      </c>
      <c r="H462" s="215" t="s">
        <v>1540</v>
      </c>
      <c r="I462" s="91">
        <v>1</v>
      </c>
      <c r="J462" s="92" t="s">
        <v>184</v>
      </c>
      <c r="K462" s="93">
        <v>100</v>
      </c>
      <c r="L462" s="93" t="s">
        <v>185</v>
      </c>
      <c r="M462" s="116">
        <f>335/10*12</f>
        <v>402</v>
      </c>
      <c r="N462" s="116">
        <f>434/9*12</f>
        <v>578.66666666666663</v>
      </c>
      <c r="O462" s="116"/>
      <c r="P462" s="116"/>
      <c r="Q462" s="95">
        <v>0</v>
      </c>
      <c r="R462" s="96" t="e">
        <f>#REF!-Q462</f>
        <v>#REF!</v>
      </c>
      <c r="S462" s="97">
        <v>120</v>
      </c>
      <c r="T462" s="98" t="e">
        <f t="shared" si="138"/>
        <v>#REF!</v>
      </c>
      <c r="U462" s="99">
        <v>200</v>
      </c>
      <c r="V462" s="100">
        <f t="shared" si="139"/>
        <v>24000</v>
      </c>
      <c r="W462" s="101"/>
      <c r="X462" s="102"/>
      <c r="Y462" s="103"/>
      <c r="Z462" s="103"/>
      <c r="AA462" s="99">
        <v>150</v>
      </c>
      <c r="AB462" s="100">
        <f t="shared" si="140"/>
        <v>18000</v>
      </c>
      <c r="AC462" s="100"/>
      <c r="AD462" s="100"/>
      <c r="AE462" s="100"/>
      <c r="AF462" s="100"/>
      <c r="AG462" s="99">
        <v>150</v>
      </c>
      <c r="AH462" s="100">
        <f t="shared" si="141"/>
        <v>18000</v>
      </c>
      <c r="AI462" s="107"/>
      <c r="AJ462" s="107"/>
      <c r="AK462" s="107"/>
      <c r="AL462" s="107"/>
      <c r="AM462" s="99">
        <v>100</v>
      </c>
      <c r="AN462" s="100">
        <f t="shared" si="142"/>
        <v>12000</v>
      </c>
      <c r="AO462" s="108">
        <f t="shared" si="143"/>
        <v>600</v>
      </c>
    </row>
    <row r="463" spans="1:41">
      <c r="A463" s="200">
        <v>10953</v>
      </c>
      <c r="B463" s="91">
        <v>6</v>
      </c>
      <c r="C463" s="201"/>
      <c r="D463" s="202"/>
      <c r="E463" s="202"/>
      <c r="F463" s="216" t="s">
        <v>1556</v>
      </c>
      <c r="G463" s="109" t="s">
        <v>1557</v>
      </c>
      <c r="H463" s="215" t="s">
        <v>1540</v>
      </c>
      <c r="I463" s="91">
        <v>1</v>
      </c>
      <c r="J463" s="92" t="s">
        <v>184</v>
      </c>
      <c r="K463" s="93">
        <v>100</v>
      </c>
      <c r="L463" s="93" t="s">
        <v>185</v>
      </c>
      <c r="M463" s="116">
        <f>694*12/10</f>
        <v>832.8</v>
      </c>
      <c r="N463" s="116">
        <f>657*12/9</f>
        <v>876</v>
      </c>
      <c r="O463" s="116"/>
      <c r="P463" s="116"/>
      <c r="Q463" s="95">
        <v>0</v>
      </c>
      <c r="R463" s="96" t="e">
        <f>#REF!-Q463</f>
        <v>#REF!</v>
      </c>
      <c r="S463" s="97">
        <v>90</v>
      </c>
      <c r="T463" s="98" t="e">
        <f t="shared" si="138"/>
        <v>#REF!</v>
      </c>
      <c r="U463" s="99">
        <v>250</v>
      </c>
      <c r="V463" s="100">
        <f t="shared" si="139"/>
        <v>22500</v>
      </c>
      <c r="W463" s="101"/>
      <c r="X463" s="102"/>
      <c r="Y463" s="103"/>
      <c r="Z463" s="103"/>
      <c r="AA463" s="99">
        <v>250</v>
      </c>
      <c r="AB463" s="100">
        <f t="shared" si="140"/>
        <v>22500</v>
      </c>
      <c r="AC463" s="100"/>
      <c r="AD463" s="100"/>
      <c r="AE463" s="100"/>
      <c r="AF463" s="100"/>
      <c r="AG463" s="99">
        <v>250</v>
      </c>
      <c r="AH463" s="100">
        <f t="shared" si="141"/>
        <v>22500</v>
      </c>
      <c r="AI463" s="107"/>
      <c r="AJ463" s="107"/>
      <c r="AK463" s="107"/>
      <c r="AL463" s="107"/>
      <c r="AM463" s="99">
        <v>250</v>
      </c>
      <c r="AN463" s="100">
        <f t="shared" si="142"/>
        <v>22500</v>
      </c>
      <c r="AO463" s="108">
        <f t="shared" si="143"/>
        <v>1000</v>
      </c>
    </row>
    <row r="464" spans="1:41">
      <c r="A464" s="200">
        <v>10953</v>
      </c>
      <c r="B464" s="91">
        <v>9</v>
      </c>
      <c r="C464" s="201"/>
      <c r="D464" s="202"/>
      <c r="E464" s="202"/>
      <c r="F464" s="216" t="s">
        <v>1739</v>
      </c>
      <c r="G464" s="109" t="s">
        <v>1568</v>
      </c>
      <c r="H464" s="215" t="s">
        <v>1540</v>
      </c>
      <c r="I464" s="91">
        <v>1</v>
      </c>
      <c r="J464" s="92" t="s">
        <v>94</v>
      </c>
      <c r="K464" s="93">
        <v>10</v>
      </c>
      <c r="L464" s="93" t="s">
        <v>95</v>
      </c>
      <c r="M464" s="116">
        <v>48</v>
      </c>
      <c r="N464" s="116">
        <f>149/9*12</f>
        <v>198.66666666666669</v>
      </c>
      <c r="O464" s="116"/>
      <c r="P464" s="116"/>
      <c r="Q464" s="95">
        <v>0</v>
      </c>
      <c r="R464" s="96" t="e">
        <f>#REF!-Q464</f>
        <v>#REF!</v>
      </c>
      <c r="S464" s="97">
        <v>35</v>
      </c>
      <c r="T464" s="98" t="e">
        <f t="shared" si="138"/>
        <v>#REF!</v>
      </c>
      <c r="U464" s="99">
        <v>100</v>
      </c>
      <c r="V464" s="100">
        <f t="shared" si="139"/>
        <v>3500</v>
      </c>
      <c r="W464" s="101"/>
      <c r="X464" s="102"/>
      <c r="Y464" s="103"/>
      <c r="Z464" s="103"/>
      <c r="AA464" s="99"/>
      <c r="AB464" s="100">
        <f t="shared" si="140"/>
        <v>0</v>
      </c>
      <c r="AC464" s="100"/>
      <c r="AD464" s="100"/>
      <c r="AE464" s="100"/>
      <c r="AF464" s="100"/>
      <c r="AG464" s="99">
        <v>100</v>
      </c>
      <c r="AH464" s="100">
        <f t="shared" si="141"/>
        <v>3500</v>
      </c>
      <c r="AI464" s="107"/>
      <c r="AJ464" s="107"/>
      <c r="AK464" s="107"/>
      <c r="AL464" s="107"/>
      <c r="AM464" s="99"/>
      <c r="AN464" s="100">
        <f t="shared" si="142"/>
        <v>0</v>
      </c>
      <c r="AO464" s="108">
        <f t="shared" si="143"/>
        <v>200</v>
      </c>
    </row>
    <row r="465" spans="1:41">
      <c r="A465" s="200">
        <v>10953</v>
      </c>
      <c r="B465" s="91">
        <v>10</v>
      </c>
      <c r="C465" s="218"/>
      <c r="D465" s="219"/>
      <c r="E465" s="219"/>
      <c r="F465" s="216" t="s">
        <v>1740</v>
      </c>
      <c r="G465" s="220" t="s">
        <v>1571</v>
      </c>
      <c r="H465" s="295" t="s">
        <v>1540</v>
      </c>
      <c r="I465" s="91">
        <v>1</v>
      </c>
      <c r="J465" s="93" t="s">
        <v>94</v>
      </c>
      <c r="K465" s="93">
        <v>1</v>
      </c>
      <c r="L465" s="93" t="s">
        <v>1572</v>
      </c>
      <c r="M465" s="116">
        <f>155*12/10</f>
        <v>186</v>
      </c>
      <c r="N465" s="116">
        <f>126/9*12</f>
        <v>168</v>
      </c>
      <c r="O465" s="116"/>
      <c r="P465" s="116"/>
      <c r="Q465" s="95">
        <v>0</v>
      </c>
      <c r="R465" s="96" t="e">
        <f>#REF!-Q465</f>
        <v>#REF!</v>
      </c>
      <c r="S465" s="221">
        <v>100</v>
      </c>
      <c r="T465" s="98" t="e">
        <f t="shared" si="138"/>
        <v>#REF!</v>
      </c>
      <c r="U465" s="148">
        <v>50</v>
      </c>
      <c r="V465" s="100">
        <f t="shared" si="139"/>
        <v>5000</v>
      </c>
      <c r="W465" s="101"/>
      <c r="X465" s="102"/>
      <c r="Y465" s="103"/>
      <c r="Z465" s="103"/>
      <c r="AA465" s="148"/>
      <c r="AB465" s="100">
        <f t="shared" si="140"/>
        <v>0</v>
      </c>
      <c r="AC465" s="100"/>
      <c r="AD465" s="100"/>
      <c r="AE465" s="100"/>
      <c r="AF465" s="100"/>
      <c r="AG465" s="148">
        <v>50</v>
      </c>
      <c r="AH465" s="100">
        <f t="shared" si="141"/>
        <v>5000</v>
      </c>
      <c r="AI465" s="107"/>
      <c r="AJ465" s="107"/>
      <c r="AK465" s="107"/>
      <c r="AL465" s="107"/>
      <c r="AM465" s="148"/>
      <c r="AN465" s="100">
        <f t="shared" si="142"/>
        <v>0</v>
      </c>
      <c r="AO465" s="108">
        <f t="shared" si="143"/>
        <v>100</v>
      </c>
    </row>
    <row r="466" spans="1:41">
      <c r="A466" s="200">
        <v>10953</v>
      </c>
      <c r="B466" s="91">
        <v>19</v>
      </c>
      <c r="C466" s="201"/>
      <c r="D466" s="202"/>
      <c r="E466" s="202"/>
      <c r="F466" s="216" t="s">
        <v>1600</v>
      </c>
      <c r="G466" s="109" t="s">
        <v>1601</v>
      </c>
      <c r="H466" s="215" t="s">
        <v>1540</v>
      </c>
      <c r="I466" s="91">
        <v>1</v>
      </c>
      <c r="J466" s="92" t="s">
        <v>94</v>
      </c>
      <c r="K466" s="93">
        <v>10</v>
      </c>
      <c r="L466" s="93" t="s">
        <v>95</v>
      </c>
      <c r="M466" s="116">
        <v>190</v>
      </c>
      <c r="N466" s="116">
        <f>282/9*12</f>
        <v>376</v>
      </c>
      <c r="O466" s="116"/>
      <c r="P466" s="116"/>
      <c r="Q466" s="95">
        <v>0</v>
      </c>
      <c r="R466" s="96" t="e">
        <f>#REF!-Q466</f>
        <v>#REF!</v>
      </c>
      <c r="S466" s="97">
        <v>30</v>
      </c>
      <c r="T466" s="98" t="e">
        <f t="shared" si="138"/>
        <v>#REF!</v>
      </c>
      <c r="U466" s="99">
        <v>100</v>
      </c>
      <c r="V466" s="100">
        <f t="shared" si="139"/>
        <v>3000</v>
      </c>
      <c r="W466" s="101"/>
      <c r="X466" s="102"/>
      <c r="Y466" s="103"/>
      <c r="Z466" s="103"/>
      <c r="AA466" s="99">
        <v>100</v>
      </c>
      <c r="AB466" s="100">
        <f t="shared" si="140"/>
        <v>3000</v>
      </c>
      <c r="AC466" s="100"/>
      <c r="AD466" s="100"/>
      <c r="AE466" s="100"/>
      <c r="AF466" s="100"/>
      <c r="AG466" s="99">
        <v>100</v>
      </c>
      <c r="AH466" s="100">
        <f t="shared" si="141"/>
        <v>3000</v>
      </c>
      <c r="AI466" s="107"/>
      <c r="AJ466" s="107"/>
      <c r="AK466" s="107"/>
      <c r="AL466" s="107"/>
      <c r="AM466" s="99">
        <v>100</v>
      </c>
      <c r="AN466" s="100">
        <f t="shared" si="142"/>
        <v>3000</v>
      </c>
      <c r="AO466" s="108">
        <f t="shared" si="143"/>
        <v>400</v>
      </c>
    </row>
    <row r="467" spans="1:41">
      <c r="A467" s="200">
        <v>10953</v>
      </c>
      <c r="B467" s="91">
        <v>30</v>
      </c>
      <c r="C467" s="201"/>
      <c r="D467" s="202"/>
      <c r="E467" s="202"/>
      <c r="F467" s="216" t="s">
        <v>1633</v>
      </c>
      <c r="G467" s="109" t="s">
        <v>1634</v>
      </c>
      <c r="H467" s="215" t="s">
        <v>1540</v>
      </c>
      <c r="I467" s="91">
        <v>1</v>
      </c>
      <c r="J467" s="92" t="s">
        <v>94</v>
      </c>
      <c r="K467" s="93">
        <v>1</v>
      </c>
      <c r="L467" s="93" t="s">
        <v>1572</v>
      </c>
      <c r="M467" s="116">
        <f>1023*12/10</f>
        <v>1227.5999999999999</v>
      </c>
      <c r="N467" s="116">
        <f>1001/9*12</f>
        <v>1334.6666666666667</v>
      </c>
      <c r="O467" s="116"/>
      <c r="P467" s="116"/>
      <c r="Q467" s="95">
        <v>0</v>
      </c>
      <c r="R467" s="96" t="e">
        <f>#REF!-Q467</f>
        <v>#REF!</v>
      </c>
      <c r="S467" s="97">
        <v>65</v>
      </c>
      <c r="T467" s="98" t="e">
        <f t="shared" si="138"/>
        <v>#REF!</v>
      </c>
      <c r="U467" s="99">
        <v>400</v>
      </c>
      <c r="V467" s="100">
        <f t="shared" si="139"/>
        <v>26000</v>
      </c>
      <c r="W467" s="101"/>
      <c r="X467" s="102"/>
      <c r="Y467" s="103"/>
      <c r="Z467" s="103"/>
      <c r="AA467" s="99">
        <v>300</v>
      </c>
      <c r="AB467" s="100">
        <f t="shared" si="140"/>
        <v>19500</v>
      </c>
      <c r="AC467" s="100"/>
      <c r="AD467" s="100"/>
      <c r="AE467" s="100"/>
      <c r="AF467" s="100"/>
      <c r="AG467" s="99">
        <v>400</v>
      </c>
      <c r="AH467" s="100">
        <f t="shared" si="141"/>
        <v>26000</v>
      </c>
      <c r="AI467" s="107"/>
      <c r="AJ467" s="107"/>
      <c r="AK467" s="107"/>
      <c r="AL467" s="107"/>
      <c r="AM467" s="99">
        <v>300</v>
      </c>
      <c r="AN467" s="100">
        <f t="shared" si="142"/>
        <v>19500</v>
      </c>
      <c r="AO467" s="108">
        <f t="shared" si="143"/>
        <v>1400</v>
      </c>
    </row>
    <row r="468" spans="1:41">
      <c r="A468" s="200">
        <v>10953</v>
      </c>
      <c r="B468" s="91">
        <v>1</v>
      </c>
      <c r="C468" s="201"/>
      <c r="D468" s="202"/>
      <c r="E468" s="202"/>
      <c r="F468" s="216" t="s">
        <v>1713</v>
      </c>
      <c r="G468" s="109" t="s">
        <v>1714</v>
      </c>
      <c r="H468" s="215" t="s">
        <v>1540</v>
      </c>
      <c r="I468" s="91">
        <v>2</v>
      </c>
      <c r="J468" s="92" t="s">
        <v>94</v>
      </c>
      <c r="K468" s="93">
        <v>1</v>
      </c>
      <c r="L468" s="93" t="s">
        <v>1572</v>
      </c>
      <c r="M468" s="116">
        <f>358/10*12</f>
        <v>429.59999999999997</v>
      </c>
      <c r="N468" s="116">
        <f>315/9*12</f>
        <v>420</v>
      </c>
      <c r="O468" s="116"/>
      <c r="P468" s="116"/>
      <c r="Q468" s="95">
        <v>0</v>
      </c>
      <c r="R468" s="96" t="e">
        <f>#REF!-Q468</f>
        <v>#REF!</v>
      </c>
      <c r="S468" s="97">
        <v>90</v>
      </c>
      <c r="T468" s="98" t="e">
        <f t="shared" si="138"/>
        <v>#REF!</v>
      </c>
      <c r="U468" s="99">
        <v>150</v>
      </c>
      <c r="V468" s="100">
        <f t="shared" si="139"/>
        <v>13500</v>
      </c>
      <c r="W468" s="101"/>
      <c r="X468" s="102"/>
      <c r="Y468" s="103"/>
      <c r="Z468" s="103"/>
      <c r="AA468" s="99">
        <v>100</v>
      </c>
      <c r="AB468" s="100">
        <f t="shared" si="140"/>
        <v>9000</v>
      </c>
      <c r="AC468" s="100"/>
      <c r="AD468" s="100"/>
      <c r="AE468" s="100"/>
      <c r="AF468" s="100"/>
      <c r="AG468" s="99">
        <v>150</v>
      </c>
      <c r="AH468" s="100">
        <f t="shared" si="141"/>
        <v>13500</v>
      </c>
      <c r="AI468" s="107"/>
      <c r="AJ468" s="107"/>
      <c r="AK468" s="107"/>
      <c r="AL468" s="107"/>
      <c r="AM468" s="99">
        <v>100</v>
      </c>
      <c r="AN468" s="100">
        <f t="shared" si="142"/>
        <v>9000</v>
      </c>
      <c r="AO468" s="108">
        <f t="shared" si="143"/>
        <v>500</v>
      </c>
    </row>
    <row r="469" spans="1:41">
      <c r="T469" s="284" t="e">
        <f>SUM(T461:T468)</f>
        <v>#REF!</v>
      </c>
      <c r="V469" s="284">
        <f>SUM(V461:V468)</f>
        <v>108000</v>
      </c>
      <c r="W469" s="284"/>
      <c r="X469" s="284"/>
      <c r="Y469" s="296"/>
      <c r="Z469" s="296"/>
    </row>
    <row r="470" spans="1:41">
      <c r="S470" s="297">
        <v>0.8</v>
      </c>
      <c r="T470" s="14" t="e">
        <f>T469*0.8</f>
        <v>#REF!</v>
      </c>
      <c r="V470" s="14">
        <f>V469*0.8</f>
        <v>86400</v>
      </c>
      <c r="W470" s="14"/>
      <c r="X470" s="14"/>
      <c r="Y470" s="285"/>
      <c r="Z470" s="285"/>
    </row>
  </sheetData>
  <sortState xmlns:xlrd2="http://schemas.microsoft.com/office/spreadsheetml/2017/richdata2" ref="A8:AX431">
    <sortCondition ref="E8:E431"/>
  </sortState>
  <mergeCells count="15">
    <mergeCell ref="U459:V459"/>
    <mergeCell ref="AA459:AB459"/>
    <mergeCell ref="AG459:AH459"/>
    <mergeCell ref="AM5:AN5"/>
    <mergeCell ref="U458:V458"/>
    <mergeCell ref="AA458:AB458"/>
    <mergeCell ref="AG458:AH458"/>
    <mergeCell ref="AM458:AN458"/>
    <mergeCell ref="U6:V6"/>
    <mergeCell ref="AA6:AB6"/>
    <mergeCell ref="AG6:AH6"/>
    <mergeCell ref="N5:O5"/>
    <mergeCell ref="U5:V5"/>
    <mergeCell ref="AA5:AB5"/>
    <mergeCell ref="AG5:A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1B799-2BD5-4385-8742-5C194C928971}">
  <dimension ref="A2:A12"/>
  <sheetViews>
    <sheetView workbookViewId="0">
      <selection activeCell="A13" sqref="A13"/>
    </sheetView>
  </sheetViews>
  <sheetFormatPr defaultRowHeight="14.25"/>
  <cols>
    <col min="1" max="1" width="135.875" customWidth="1"/>
  </cols>
  <sheetData>
    <row r="2" spans="1:1" ht="27.75">
      <c r="A2" s="358" t="s">
        <v>1755</v>
      </c>
    </row>
    <row r="3" spans="1:1" ht="55.5">
      <c r="A3" s="359" t="s">
        <v>1756</v>
      </c>
    </row>
    <row r="4" spans="1:1" ht="27.75">
      <c r="A4" s="359" t="s">
        <v>1757</v>
      </c>
    </row>
    <row r="5" spans="1:1" ht="27.75">
      <c r="A5" s="359" t="s">
        <v>1758</v>
      </c>
    </row>
    <row r="6" spans="1:1" ht="27.75">
      <c r="A6" s="360" t="s">
        <v>1759</v>
      </c>
    </row>
    <row r="7" spans="1:1" ht="27.75">
      <c r="A7" s="359" t="s">
        <v>1760</v>
      </c>
    </row>
    <row r="8" spans="1:1" ht="27.75">
      <c r="A8" s="359" t="s">
        <v>1761</v>
      </c>
    </row>
    <row r="9" spans="1:1" ht="27.75">
      <c r="A9" s="360" t="s">
        <v>1762</v>
      </c>
    </row>
    <row r="10" spans="1:1" ht="27.75">
      <c r="A10" s="359" t="s">
        <v>1763</v>
      </c>
    </row>
    <row r="11" spans="1:1" ht="55.5">
      <c r="A11" s="359" t="s">
        <v>1764</v>
      </c>
    </row>
    <row r="12" spans="1:1" ht="27.75">
      <c r="A12" s="359" t="s">
        <v>1765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1B037-A5AF-49AE-ACF5-43E40B580929}">
  <dimension ref="A1:I34"/>
  <sheetViews>
    <sheetView workbookViewId="0">
      <selection activeCell="G10" sqref="G10"/>
    </sheetView>
  </sheetViews>
  <sheetFormatPr defaultColWidth="9.125" defaultRowHeight="24"/>
  <cols>
    <col min="1" max="1" width="20.25" style="364" customWidth="1"/>
    <col min="2" max="2" width="20.875" style="364" customWidth="1"/>
    <col min="3" max="3" width="19.75" style="364" customWidth="1"/>
    <col min="4" max="4" width="20.25" style="364" customWidth="1"/>
    <col min="5" max="5" width="22.125" style="365" customWidth="1"/>
    <col min="6" max="6" width="21.75" style="365" customWidth="1"/>
    <col min="7" max="16384" width="9.125" style="366"/>
  </cols>
  <sheetData>
    <row r="1" spans="1:6" s="362" customFormat="1">
      <c r="A1" s="361" t="s">
        <v>1766</v>
      </c>
      <c r="B1" s="361"/>
      <c r="C1" s="361"/>
      <c r="D1" s="361"/>
      <c r="E1" s="361"/>
      <c r="F1" s="361"/>
    </row>
    <row r="2" spans="1:6" s="362" customFormat="1">
      <c r="A2" s="363" t="s">
        <v>1767</v>
      </c>
      <c r="B2" s="363" t="s">
        <v>1768</v>
      </c>
      <c r="C2" s="363" t="s">
        <v>1769</v>
      </c>
      <c r="D2" s="363" t="s">
        <v>1770</v>
      </c>
      <c r="E2" s="362" t="s">
        <v>1771</v>
      </c>
      <c r="F2" s="362" t="s">
        <v>1772</v>
      </c>
    </row>
    <row r="3" spans="1:6">
      <c r="A3" s="364">
        <v>244435</v>
      </c>
      <c r="B3" s="364">
        <v>244547</v>
      </c>
      <c r="C3" s="364">
        <v>244491</v>
      </c>
      <c r="D3" s="364">
        <v>244487</v>
      </c>
      <c r="E3" s="365">
        <v>18</v>
      </c>
      <c r="F3" s="365" t="s">
        <v>1773</v>
      </c>
    </row>
    <row r="4" spans="1:6">
      <c r="A4" s="364">
        <v>244438</v>
      </c>
      <c r="B4" s="364">
        <v>244550</v>
      </c>
      <c r="C4" s="364">
        <v>244494</v>
      </c>
      <c r="D4" s="364">
        <v>244489</v>
      </c>
      <c r="E4" s="365">
        <v>13</v>
      </c>
    </row>
    <row r="5" spans="1:6">
      <c r="A5" s="364">
        <v>244439</v>
      </c>
      <c r="B5" s="364">
        <v>244551</v>
      </c>
      <c r="C5" s="364">
        <v>244495</v>
      </c>
      <c r="D5" s="364">
        <v>244489</v>
      </c>
      <c r="E5" s="365">
        <v>10</v>
      </c>
    </row>
    <row r="6" spans="1:6">
      <c r="A6" s="364">
        <v>244440</v>
      </c>
      <c r="B6" s="364">
        <v>244552</v>
      </c>
      <c r="C6" s="364">
        <v>244496</v>
      </c>
      <c r="D6" s="364">
        <v>244490</v>
      </c>
      <c r="E6" s="365">
        <v>51</v>
      </c>
    </row>
    <row r="7" spans="1:6">
      <c r="A7" s="364">
        <v>244441</v>
      </c>
      <c r="B7" s="364">
        <v>244553</v>
      </c>
      <c r="C7" s="364">
        <v>244497</v>
      </c>
      <c r="D7" s="364">
        <v>244491</v>
      </c>
      <c r="E7" s="365">
        <v>62</v>
      </c>
    </row>
    <row r="8" spans="1:6">
      <c r="A8" s="364">
        <v>244442</v>
      </c>
      <c r="B8" s="364">
        <v>244554</v>
      </c>
      <c r="C8" s="364">
        <v>244498</v>
      </c>
      <c r="D8" s="364">
        <v>244494</v>
      </c>
      <c r="E8" s="365">
        <v>67</v>
      </c>
    </row>
    <row r="9" spans="1:6">
      <c r="A9" s="364">
        <v>244446</v>
      </c>
      <c r="B9" s="364">
        <v>244551</v>
      </c>
      <c r="C9" s="364">
        <v>244502</v>
      </c>
      <c r="D9" s="364">
        <v>244495</v>
      </c>
      <c r="E9" s="365">
        <v>36</v>
      </c>
    </row>
    <row r="10" spans="1:6">
      <c r="A10" s="364">
        <v>244447</v>
      </c>
      <c r="B10" s="364">
        <v>244561</v>
      </c>
      <c r="C10" s="364">
        <v>244503</v>
      </c>
      <c r="D10" s="364">
        <v>244496</v>
      </c>
      <c r="E10" s="365">
        <v>51</v>
      </c>
    </row>
    <row r="11" spans="1:6">
      <c r="A11" s="364">
        <v>244448</v>
      </c>
      <c r="B11" s="364">
        <v>244557</v>
      </c>
      <c r="C11" s="364">
        <v>244504</v>
      </c>
      <c r="D11" s="364">
        <v>244498</v>
      </c>
      <c r="E11" s="365">
        <v>64</v>
      </c>
    </row>
    <row r="12" spans="1:6">
      <c r="A12" s="364">
        <v>244449</v>
      </c>
      <c r="B12" s="364">
        <v>244561</v>
      </c>
      <c r="C12" s="364">
        <v>244505</v>
      </c>
      <c r="D12" s="364">
        <v>244502</v>
      </c>
      <c r="E12" s="365">
        <v>64</v>
      </c>
    </row>
    <row r="13" spans="1:6">
      <c r="A13" s="364">
        <v>244455</v>
      </c>
      <c r="B13" s="364">
        <v>244567</v>
      </c>
      <c r="C13" s="364">
        <v>244511</v>
      </c>
      <c r="D13" s="364">
        <v>244504</v>
      </c>
      <c r="E13" s="365">
        <v>36</v>
      </c>
    </row>
    <row r="14" spans="1:6">
      <c r="A14" s="364">
        <v>244456</v>
      </c>
      <c r="B14" s="364">
        <v>244568</v>
      </c>
      <c r="C14" s="364">
        <v>244512</v>
      </c>
      <c r="D14" s="364">
        <v>244505</v>
      </c>
      <c r="E14" s="365">
        <v>44</v>
      </c>
    </row>
    <row r="15" spans="1:6">
      <c r="A15" s="364">
        <v>244459</v>
      </c>
      <c r="B15" s="364">
        <v>244571</v>
      </c>
      <c r="C15" s="364">
        <v>244515</v>
      </c>
      <c r="D15" s="364">
        <v>244508</v>
      </c>
      <c r="E15" s="365">
        <v>25</v>
      </c>
    </row>
    <row r="16" spans="1:6">
      <c r="A16" s="364">
        <v>244460</v>
      </c>
      <c r="B16" s="364">
        <v>244572</v>
      </c>
      <c r="C16" s="364">
        <v>244516</v>
      </c>
      <c r="D16" s="364">
        <v>244509</v>
      </c>
      <c r="E16" s="365">
        <v>60</v>
      </c>
    </row>
    <row r="17" spans="1:5">
      <c r="A17" s="364">
        <v>244461</v>
      </c>
      <c r="B17" s="364">
        <v>244566</v>
      </c>
      <c r="C17" s="364">
        <v>244517</v>
      </c>
      <c r="D17" s="364">
        <v>244511</v>
      </c>
      <c r="E17" s="365">
        <v>55</v>
      </c>
    </row>
    <row r="18" spans="1:5">
      <c r="A18" s="364">
        <v>244462</v>
      </c>
      <c r="B18" s="364">
        <v>244574</v>
      </c>
      <c r="C18" s="364">
        <v>244518</v>
      </c>
      <c r="D18" s="364">
        <v>244512</v>
      </c>
      <c r="E18" s="365">
        <v>56</v>
      </c>
    </row>
    <row r="19" spans="1:5">
      <c r="A19" s="364">
        <v>244463</v>
      </c>
      <c r="B19" s="364">
        <v>244575</v>
      </c>
      <c r="C19" s="364">
        <v>244519</v>
      </c>
      <c r="D19" s="364">
        <v>244515</v>
      </c>
      <c r="E19" s="365">
        <v>69</v>
      </c>
    </row>
    <row r="20" spans="1:5">
      <c r="A20" s="364">
        <v>244466</v>
      </c>
      <c r="B20" s="364">
        <v>244578</v>
      </c>
      <c r="C20" s="364">
        <v>244522</v>
      </c>
      <c r="D20" s="364">
        <v>244516</v>
      </c>
      <c r="E20" s="365">
        <v>21</v>
      </c>
    </row>
    <row r="21" spans="1:5">
      <c r="A21" s="364">
        <v>244467</v>
      </c>
      <c r="B21" s="364">
        <v>244579</v>
      </c>
      <c r="C21" s="364">
        <v>244523</v>
      </c>
      <c r="D21" s="364">
        <v>244517</v>
      </c>
      <c r="E21" s="365">
        <v>44</v>
      </c>
    </row>
    <row r="22" spans="1:5">
      <c r="A22" s="364">
        <v>244468</v>
      </c>
      <c r="B22" s="364">
        <v>244580</v>
      </c>
      <c r="C22" s="364">
        <v>244524</v>
      </c>
      <c r="D22" s="364">
        <v>244518</v>
      </c>
      <c r="E22" s="365">
        <v>68</v>
      </c>
    </row>
    <row r="23" spans="1:5">
      <c r="A23" s="364">
        <v>244469</v>
      </c>
      <c r="B23" s="364">
        <v>244581</v>
      </c>
      <c r="C23" s="364">
        <v>244525</v>
      </c>
      <c r="D23" s="364">
        <v>244519</v>
      </c>
      <c r="E23" s="365">
        <v>41</v>
      </c>
    </row>
    <row r="24" spans="1:5">
      <c r="A24" s="364">
        <v>244470</v>
      </c>
      <c r="B24" s="364">
        <v>244582</v>
      </c>
      <c r="C24" s="364">
        <v>244526</v>
      </c>
      <c r="D24" s="364">
        <v>244522</v>
      </c>
      <c r="E24" s="365">
        <v>38</v>
      </c>
    </row>
    <row r="25" spans="1:5">
      <c r="A25" s="364">
        <v>244474</v>
      </c>
      <c r="B25" s="364">
        <v>244586</v>
      </c>
      <c r="C25" s="364">
        <v>244530</v>
      </c>
      <c r="D25" s="364">
        <v>244523</v>
      </c>
      <c r="E25" s="365">
        <v>34</v>
      </c>
    </row>
    <row r="26" spans="1:5">
      <c r="A26" s="364">
        <v>244475</v>
      </c>
      <c r="B26" s="364">
        <v>244587</v>
      </c>
      <c r="C26" s="364">
        <v>244531</v>
      </c>
      <c r="D26" s="364">
        <v>244524</v>
      </c>
      <c r="E26" s="365">
        <v>31</v>
      </c>
    </row>
    <row r="27" spans="1:5">
      <c r="A27" s="364">
        <v>244476</v>
      </c>
      <c r="B27" s="364">
        <v>244588</v>
      </c>
      <c r="C27" s="364">
        <v>244532</v>
      </c>
      <c r="D27" s="364">
        <v>244525</v>
      </c>
      <c r="E27" s="365">
        <v>37</v>
      </c>
    </row>
    <row r="28" spans="1:5">
      <c r="A28" s="364">
        <v>244477</v>
      </c>
      <c r="B28" s="364">
        <v>244589</v>
      </c>
      <c r="C28" s="364">
        <v>244533</v>
      </c>
      <c r="D28" s="364">
        <v>244526</v>
      </c>
      <c r="E28" s="365">
        <v>40</v>
      </c>
    </row>
    <row r="29" spans="1:5">
      <c r="A29" s="364">
        <v>244480</v>
      </c>
      <c r="B29" s="364">
        <v>244592</v>
      </c>
      <c r="C29" s="364">
        <v>244536</v>
      </c>
      <c r="D29" s="364">
        <v>244529</v>
      </c>
      <c r="E29" s="365">
        <v>8</v>
      </c>
    </row>
    <row r="30" spans="1:5">
      <c r="A30" s="364">
        <v>244481</v>
      </c>
      <c r="B30" s="364">
        <v>244593</v>
      </c>
      <c r="C30" s="364">
        <v>244537</v>
      </c>
      <c r="D30" s="364">
        <v>244529</v>
      </c>
      <c r="E30" s="365">
        <v>3</v>
      </c>
    </row>
    <row r="31" spans="1:5">
      <c r="A31" s="364">
        <v>244483</v>
      </c>
      <c r="B31" s="364">
        <v>244595</v>
      </c>
      <c r="C31" s="364">
        <v>244539</v>
      </c>
      <c r="D31" s="364">
        <v>244532</v>
      </c>
      <c r="E31" s="365">
        <v>13</v>
      </c>
    </row>
    <row r="32" spans="1:5">
      <c r="A32" s="364">
        <v>244484</v>
      </c>
      <c r="B32" s="364">
        <v>244596</v>
      </c>
      <c r="C32" s="364">
        <v>244540</v>
      </c>
      <c r="D32" s="364">
        <v>244536</v>
      </c>
      <c r="E32" s="365">
        <v>52</v>
      </c>
    </row>
    <row r="33" spans="1:9">
      <c r="A33" s="364">
        <v>244487</v>
      </c>
      <c r="B33" s="364">
        <v>244599</v>
      </c>
      <c r="C33" s="364">
        <v>244543</v>
      </c>
      <c r="D33" s="364">
        <v>244537</v>
      </c>
      <c r="E33" s="365">
        <v>1</v>
      </c>
      <c r="I33" s="367"/>
    </row>
    <row r="34" spans="1:9">
      <c r="A34" s="364">
        <v>244488</v>
      </c>
      <c r="B34" s="364">
        <v>244600</v>
      </c>
      <c r="C34" s="364">
        <v>244544</v>
      </c>
      <c r="D34" s="364">
        <v>244537</v>
      </c>
      <c r="E34" s="365">
        <v>13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10</vt:i4>
      </vt:variant>
    </vt:vector>
  </HeadingPairs>
  <TitlesOfParts>
    <vt:vector size="10" baseType="lpstr">
      <vt:lpstr>Top30</vt:lpstr>
      <vt:lpstr>TopNCD</vt:lpstr>
      <vt:lpstr>NCD</vt:lpstr>
      <vt:lpstr>ยาrefer</vt:lpstr>
      <vt:lpstr>TopOther</vt:lpstr>
      <vt:lpstr>Sheet1 (2)</vt:lpstr>
      <vt:lpstr>Sheet2</vt:lpstr>
      <vt:lpstr>ส่งยา</vt:lpstr>
      <vt:lpstr>refillNCD</vt:lpstr>
      <vt:lpstr>workload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Pharm1</dc:creator>
  <cp:lastModifiedBy>Pharm1</cp:lastModifiedBy>
  <dcterms:created xsi:type="dcterms:W3CDTF">2026-05-15T07:20:40Z</dcterms:created>
  <dcterms:modified xsi:type="dcterms:W3CDTF">2026-05-20T05:07:09Z</dcterms:modified>
</cp:coreProperties>
</file>